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vestor Relations\Quarterly and Annual Reports\2019\Q4\"/>
    </mc:Choice>
  </mc:AlternateContent>
  <xr:revisionPtr revIDLastSave="0" documentId="13_ncr:1_{7A200698-B264-41AE-9CFA-E10E4CF85F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aluation of TC Cover" sheetId="4" r:id="rId1"/>
    <sheet name="Discount" sheetId="6" r:id="rId2"/>
    <sheet name="Sheet2" sheetId="2" state="hidden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2" i="4" l="1"/>
  <c r="L62" i="4"/>
  <c r="W44" i="4" l="1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43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14" i="4"/>
  <c r="E28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14" i="4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T48" i="4" l="1"/>
  <c r="T49" i="4" s="1"/>
  <c r="T50" i="4" s="1"/>
  <c r="T51" i="4" s="1"/>
  <c r="T52" i="4" s="1"/>
  <c r="T53" i="4" s="1"/>
  <c r="T54" i="4" s="1"/>
  <c r="T55" i="4" s="1"/>
  <c r="T56" i="4" s="1"/>
  <c r="T57" i="4" s="1"/>
  <c r="K48" i="4"/>
  <c r="K49" i="4" s="1"/>
  <c r="K50" i="4" s="1"/>
  <c r="K51" i="4" s="1"/>
  <c r="K52" i="4" s="1"/>
  <c r="K53" i="4" s="1"/>
  <c r="K54" i="4" s="1"/>
  <c r="K55" i="4" s="1"/>
  <c r="K56" i="4" s="1"/>
  <c r="K57" i="4" s="1"/>
  <c r="B48" i="4"/>
  <c r="B49" i="4" s="1"/>
  <c r="B50" i="4" s="1"/>
  <c r="B51" i="4" s="1"/>
  <c r="B52" i="4" s="1"/>
  <c r="B53" i="4" s="1"/>
  <c r="B54" i="4" s="1"/>
  <c r="B55" i="4" s="1"/>
  <c r="B56" i="4" s="1"/>
  <c r="B57" i="4" s="1"/>
  <c r="T19" i="4"/>
  <c r="T20" i="4" s="1"/>
  <c r="T21" i="4" s="1"/>
  <c r="T22" i="4" s="1"/>
  <c r="T23" i="4" s="1"/>
  <c r="T24" i="4" s="1"/>
  <c r="T25" i="4" s="1"/>
  <c r="T26" i="4" s="1"/>
  <c r="T27" i="4" s="1"/>
  <c r="T28" i="4" s="1"/>
  <c r="K19" i="4"/>
  <c r="K20" i="4" s="1"/>
  <c r="K21" i="4" s="1"/>
  <c r="K22" i="4" s="1"/>
  <c r="K23" i="4" s="1"/>
  <c r="K24" i="4" s="1"/>
  <c r="K25" i="4" s="1"/>
  <c r="K26" i="4" s="1"/>
  <c r="K27" i="4" s="1"/>
  <c r="K28" i="4" s="1"/>
  <c r="A2" i="6" l="1"/>
  <c r="B10" i="6" l="1"/>
  <c r="B11" i="6" s="1"/>
  <c r="B12" i="6" s="1"/>
  <c r="B13" i="6" s="1"/>
  <c r="B14" i="6" s="1"/>
  <c r="B15" i="6" s="1"/>
  <c r="B16" i="6" s="1"/>
  <c r="B17" i="6" s="1"/>
  <c r="B18" i="6" s="1"/>
  <c r="B19" i="6" s="1"/>
  <c r="B19" i="4" l="1"/>
  <c r="B20" i="4" s="1"/>
  <c r="B21" i="4" s="1"/>
  <c r="B22" i="4" s="1"/>
  <c r="B23" i="4" s="1"/>
  <c r="B24" i="4" s="1"/>
  <c r="B25" i="4" s="1"/>
  <c r="B26" i="4" s="1"/>
  <c r="B27" i="4" s="1"/>
  <c r="B28" i="4" s="1"/>
  <c r="C3" i="6" l="1"/>
  <c r="N14" i="4" s="1"/>
  <c r="Z14" i="4" l="1"/>
  <c r="Q14" i="4"/>
  <c r="Q43" i="4"/>
  <c r="Z43" i="4"/>
  <c r="H43" i="4"/>
  <c r="N43" i="4"/>
  <c r="H14" i="4"/>
  <c r="E43" i="4"/>
  <c r="Q76" i="2"/>
  <c r="N76" i="2"/>
  <c r="Q53" i="2"/>
  <c r="N53" i="2"/>
  <c r="Q30" i="2"/>
  <c r="N30" i="2"/>
  <c r="Q75" i="2"/>
  <c r="N75" i="2"/>
  <c r="Q52" i="2"/>
  <c r="N52" i="2"/>
  <c r="Q29" i="2"/>
  <c r="N29" i="2"/>
  <c r="Q74" i="2"/>
  <c r="N74" i="2"/>
  <c r="Q51" i="2"/>
  <c r="N51" i="2"/>
  <c r="Q28" i="2"/>
  <c r="N28" i="2"/>
  <c r="Q73" i="2"/>
  <c r="N73" i="2"/>
  <c r="Q50" i="2"/>
  <c r="N50" i="2"/>
  <c r="Q27" i="2"/>
  <c r="N27" i="2"/>
  <c r="Q72" i="2"/>
  <c r="N72" i="2"/>
  <c r="Q49" i="2"/>
  <c r="N49" i="2"/>
  <c r="Q26" i="2"/>
  <c r="N26" i="2"/>
  <c r="Q71" i="2"/>
  <c r="N71" i="2"/>
  <c r="Q48" i="2"/>
  <c r="N48" i="2"/>
  <c r="Q25" i="2"/>
  <c r="N25" i="2"/>
  <c r="Q70" i="2"/>
  <c r="N70" i="2"/>
  <c r="Q47" i="2"/>
  <c r="N47" i="2"/>
  <c r="Q24" i="2"/>
  <c r="N24" i="2"/>
  <c r="Q69" i="2"/>
  <c r="N69" i="2"/>
  <c r="Q46" i="2"/>
  <c r="N46" i="2"/>
  <c r="Q23" i="2"/>
  <c r="N23" i="2"/>
  <c r="Q68" i="2"/>
  <c r="N68" i="2"/>
  <c r="Q45" i="2"/>
  <c r="N45" i="2"/>
  <c r="Q22" i="2"/>
  <c r="N22" i="2"/>
  <c r="Q67" i="2"/>
  <c r="N67" i="2"/>
  <c r="Q44" i="2"/>
  <c r="N44" i="2"/>
  <c r="Q21" i="2"/>
  <c r="N21" i="2"/>
  <c r="Q66" i="2"/>
  <c r="N66" i="2"/>
  <c r="Q43" i="2"/>
  <c r="N43" i="2"/>
  <c r="Q20" i="2"/>
  <c r="N20" i="2"/>
  <c r="Q65" i="2"/>
  <c r="N65" i="2"/>
  <c r="Q42" i="2"/>
  <c r="N42" i="2"/>
  <c r="Q19" i="2"/>
  <c r="N19" i="2"/>
  <c r="Q64" i="2"/>
  <c r="N64" i="2"/>
  <c r="Q41" i="2"/>
  <c r="N41" i="2"/>
  <c r="Q18" i="2"/>
  <c r="N18" i="2"/>
  <c r="Q63" i="2"/>
  <c r="N63" i="2"/>
  <c r="Q40" i="2"/>
  <c r="N40" i="2"/>
  <c r="Q17" i="2"/>
  <c r="N17" i="2"/>
  <c r="Q62" i="2"/>
  <c r="N62" i="2"/>
  <c r="Q39" i="2"/>
  <c r="N39" i="2"/>
  <c r="Q16" i="2"/>
  <c r="N16" i="2"/>
  <c r="Q61" i="2"/>
  <c r="N61" i="2"/>
  <c r="Q38" i="2"/>
  <c r="N38" i="2"/>
  <c r="Q15" i="2"/>
  <c r="N15" i="2"/>
  <c r="Q60" i="2"/>
  <c r="N60" i="2"/>
  <c r="Q37" i="2"/>
  <c r="N37" i="2"/>
  <c r="Q14" i="2"/>
  <c r="N14" i="2"/>
  <c r="Q59" i="2"/>
  <c r="O7" i="2" s="1"/>
  <c r="N59" i="2"/>
  <c r="M7" i="2" s="1"/>
  <c r="Q36" i="2"/>
  <c r="O6" i="2" s="1"/>
  <c r="N36" i="2"/>
  <c r="M6" i="2" s="1"/>
  <c r="Q13" i="2"/>
  <c r="O5" i="2" s="1"/>
  <c r="N13" i="2"/>
  <c r="M5" i="2" s="1"/>
  <c r="H76" i="2"/>
  <c r="E76" i="2"/>
  <c r="H53" i="2"/>
  <c r="E53" i="2"/>
  <c r="H30" i="2"/>
  <c r="E30" i="2"/>
  <c r="H75" i="2"/>
  <c r="E75" i="2"/>
  <c r="H52" i="2"/>
  <c r="E52" i="2"/>
  <c r="H29" i="2"/>
  <c r="E29" i="2"/>
  <c r="H74" i="2"/>
  <c r="E74" i="2"/>
  <c r="H51" i="2"/>
  <c r="E51" i="2"/>
  <c r="H28" i="2"/>
  <c r="E28" i="2"/>
  <c r="H73" i="2"/>
  <c r="E73" i="2"/>
  <c r="H50" i="2"/>
  <c r="E50" i="2"/>
  <c r="H27" i="2"/>
  <c r="E27" i="2"/>
  <c r="H72" i="2"/>
  <c r="E72" i="2"/>
  <c r="H49" i="2"/>
  <c r="E49" i="2"/>
  <c r="H26" i="2"/>
  <c r="E26" i="2"/>
  <c r="H71" i="2"/>
  <c r="E71" i="2"/>
  <c r="H48" i="2"/>
  <c r="E48" i="2"/>
  <c r="H25" i="2"/>
  <c r="E25" i="2"/>
  <c r="H70" i="2"/>
  <c r="E70" i="2"/>
  <c r="H47" i="2"/>
  <c r="E47" i="2"/>
  <c r="H24" i="2"/>
  <c r="E24" i="2"/>
  <c r="H69" i="2"/>
  <c r="E69" i="2"/>
  <c r="H46" i="2"/>
  <c r="E46" i="2"/>
  <c r="H23" i="2"/>
  <c r="E23" i="2"/>
  <c r="H68" i="2"/>
  <c r="E68" i="2"/>
  <c r="H45" i="2"/>
  <c r="E45" i="2"/>
  <c r="H22" i="2"/>
  <c r="E22" i="2"/>
  <c r="H67" i="2"/>
  <c r="E67" i="2"/>
  <c r="H44" i="2"/>
  <c r="E44" i="2"/>
  <c r="H21" i="2"/>
  <c r="E21" i="2"/>
  <c r="H66" i="2"/>
  <c r="E66" i="2"/>
  <c r="H43" i="2"/>
  <c r="E43" i="2"/>
  <c r="H20" i="2"/>
  <c r="E20" i="2"/>
  <c r="H65" i="2"/>
  <c r="E65" i="2"/>
  <c r="H42" i="2"/>
  <c r="E42" i="2"/>
  <c r="H19" i="2"/>
  <c r="E19" i="2"/>
  <c r="H64" i="2"/>
  <c r="E64" i="2"/>
  <c r="H41" i="2"/>
  <c r="E41" i="2"/>
  <c r="H18" i="2"/>
  <c r="E18" i="2"/>
  <c r="H63" i="2"/>
  <c r="E63" i="2"/>
  <c r="H40" i="2"/>
  <c r="E40" i="2"/>
  <c r="H17" i="2"/>
  <c r="E17" i="2"/>
  <c r="H62" i="2"/>
  <c r="E62" i="2"/>
  <c r="H39" i="2"/>
  <c r="E39" i="2"/>
  <c r="H16" i="2"/>
  <c r="E16" i="2"/>
  <c r="H61" i="2"/>
  <c r="E61" i="2"/>
  <c r="H38" i="2"/>
  <c r="E38" i="2"/>
  <c r="H15" i="2"/>
  <c r="E15" i="2"/>
  <c r="H60" i="2"/>
  <c r="E60" i="2"/>
  <c r="H37" i="2"/>
  <c r="E37" i="2"/>
  <c r="H14" i="2"/>
  <c r="E14" i="2"/>
  <c r="H59" i="2"/>
  <c r="E59" i="2"/>
  <c r="H36" i="2"/>
  <c r="F6" i="2" s="1"/>
  <c r="E36" i="2"/>
  <c r="H13" i="2"/>
  <c r="F5" i="2" s="1"/>
  <c r="E13" i="2"/>
  <c r="D5" i="2" s="1"/>
  <c r="F7" i="2"/>
  <c r="D7" i="2" l="1"/>
  <c r="G7" i="2" s="1"/>
  <c r="D6" i="2"/>
  <c r="P6" i="2"/>
  <c r="G6" i="2"/>
  <c r="G5" i="2"/>
  <c r="P5" i="2"/>
  <c r="P7" i="2"/>
  <c r="G8" i="2" l="1"/>
  <c r="P8" i="2"/>
  <c r="C4" i="6"/>
  <c r="C5" i="6"/>
  <c r="N16" i="4" s="1"/>
  <c r="C6" i="6"/>
  <c r="Q17" i="4" l="1"/>
  <c r="N17" i="4"/>
  <c r="Q15" i="4"/>
  <c r="N15" i="4"/>
  <c r="Q16" i="4"/>
  <c r="Z45" i="4"/>
  <c r="Z16" i="4"/>
  <c r="Z46" i="4"/>
  <c r="Z17" i="4"/>
  <c r="Z44" i="4"/>
  <c r="Z15" i="4"/>
  <c r="N45" i="4"/>
  <c r="Q45" i="4"/>
  <c r="N46" i="4"/>
  <c r="Q46" i="4"/>
  <c r="N44" i="4"/>
  <c r="Q44" i="4"/>
  <c r="H44" i="4"/>
  <c r="E45" i="4"/>
  <c r="H45" i="4"/>
  <c r="E46" i="4"/>
  <c r="H46" i="4"/>
  <c r="H15" i="4"/>
  <c r="E44" i="4"/>
  <c r="H16" i="4"/>
  <c r="H17" i="4"/>
  <c r="C7" i="6"/>
  <c r="Q18" i="4" l="1"/>
  <c r="N18" i="4"/>
  <c r="Z47" i="4"/>
  <c r="Z18" i="4"/>
  <c r="N47" i="4"/>
  <c r="Q47" i="4"/>
  <c r="E47" i="4"/>
  <c r="H47" i="4"/>
  <c r="H18" i="4"/>
  <c r="C8" i="6"/>
  <c r="Q19" i="4" l="1"/>
  <c r="N19" i="4"/>
  <c r="Z48" i="4"/>
  <c r="Z19" i="4"/>
  <c r="N48" i="4"/>
  <c r="Q48" i="4"/>
  <c r="E48" i="4"/>
  <c r="H48" i="4"/>
  <c r="H19" i="4"/>
  <c r="C9" i="6"/>
  <c r="Q20" i="4" l="1"/>
  <c r="N20" i="4"/>
  <c r="Z49" i="4"/>
  <c r="Z20" i="4"/>
  <c r="N49" i="4"/>
  <c r="Q49" i="4"/>
  <c r="E49" i="4"/>
  <c r="H49" i="4"/>
  <c r="H20" i="4"/>
  <c r="C10" i="6"/>
  <c r="Q21" i="4" l="1"/>
  <c r="N21" i="4"/>
  <c r="Z50" i="4"/>
  <c r="Z21" i="4"/>
  <c r="N50" i="4"/>
  <c r="Q50" i="4"/>
  <c r="E50" i="4"/>
  <c r="H50" i="4"/>
  <c r="H21" i="4"/>
  <c r="C11" i="6"/>
  <c r="Q22" i="4" l="1"/>
  <c r="N22" i="4"/>
  <c r="Z51" i="4"/>
  <c r="Z22" i="4"/>
  <c r="N51" i="4"/>
  <c r="Q51" i="4"/>
  <c r="E51" i="4"/>
  <c r="H51" i="4"/>
  <c r="H22" i="4"/>
  <c r="C12" i="6"/>
  <c r="Q23" i="4" l="1"/>
  <c r="N23" i="4"/>
  <c r="Z52" i="4"/>
  <c r="Z23" i="4"/>
  <c r="N52" i="4"/>
  <c r="Q52" i="4"/>
  <c r="E52" i="4"/>
  <c r="H52" i="4"/>
  <c r="H23" i="4"/>
  <c r="C13" i="6"/>
  <c r="Q24" i="4" l="1"/>
  <c r="N24" i="4"/>
  <c r="Z53" i="4"/>
  <c r="Z24" i="4"/>
  <c r="N53" i="4"/>
  <c r="Q53" i="4"/>
  <c r="E53" i="4"/>
  <c r="H53" i="4"/>
  <c r="H24" i="4"/>
  <c r="C14" i="6"/>
  <c r="Q25" i="4" l="1"/>
  <c r="N25" i="4"/>
  <c r="Z54" i="4"/>
  <c r="Z25" i="4"/>
  <c r="N54" i="4"/>
  <c r="Q54" i="4"/>
  <c r="E54" i="4"/>
  <c r="H54" i="4"/>
  <c r="H25" i="4"/>
  <c r="C15" i="6"/>
  <c r="Q26" i="4" l="1"/>
  <c r="N26" i="4"/>
  <c r="Z55" i="4"/>
  <c r="Z26" i="4"/>
  <c r="N55" i="4"/>
  <c r="Q55" i="4"/>
  <c r="E55" i="4"/>
  <c r="H55" i="4"/>
  <c r="H26" i="4"/>
  <c r="C16" i="6"/>
  <c r="N27" i="4" s="1"/>
  <c r="Z27" i="4" l="1"/>
  <c r="Q27" i="4"/>
  <c r="Q56" i="4"/>
  <c r="Z56" i="4"/>
  <c r="H56" i="4"/>
  <c r="N56" i="4"/>
  <c r="H27" i="4"/>
  <c r="E56" i="4"/>
  <c r="C17" i="6"/>
  <c r="N28" i="4" s="1"/>
  <c r="Z28" i="4" l="1"/>
  <c r="Q28" i="4"/>
  <c r="Q57" i="4"/>
  <c r="Z57" i="4"/>
  <c r="H57" i="4"/>
  <c r="N57" i="4"/>
  <c r="H28" i="4"/>
  <c r="E57" i="4"/>
  <c r="C18" i="6"/>
  <c r="C19" i="6"/>
  <c r="D4" i="4" l="1"/>
  <c r="D34" i="4" l="1"/>
  <c r="F34" i="4"/>
  <c r="D33" i="4"/>
  <c r="F33" i="4"/>
  <c r="F32" i="4"/>
  <c r="D32" i="4"/>
  <c r="F3" i="4"/>
  <c r="F5" i="4"/>
  <c r="D5" i="4"/>
  <c r="D3" i="4"/>
  <c r="F4" i="4"/>
  <c r="G5" i="4" l="1"/>
  <c r="G4" i="4"/>
  <c r="G3" i="4"/>
  <c r="G34" i="4"/>
  <c r="G33" i="4"/>
  <c r="G32" i="4"/>
  <c r="G6" i="4" l="1"/>
  <c r="G35" i="4"/>
  <c r="G36" i="4" l="1"/>
  <c r="G7" i="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6">
    <s v="SRVBIPROD01 Exposure2"/>
    <s v="{[History].[History].&amp;[0]}"/>
    <s v="{[ExposureCategory].[ExposureCategory].&amp;[1]}"/>
    <s v="{[ExposureType].[ExposureType].&amp;[1],[ExposureType].[ExposureType].&amp;[4]}"/>
    <s v="[VesselType].[VesselType].&amp;[24699]"/>
    <s v="[Measures].[Days]"/>
    <s v="{[BusinessUnitGroup].[BusinessUnitGroup].&amp;[22]}"/>
    <s v="[Calendar].[Calendar].[Year].&amp;[2018]"/>
    <s v="{[ContractType].[ContractType].&amp;[2],[ContractType].[ContractType].&amp;[3],[ContractType].[ContractType].&amp;[12],[ContractType].[ContractType].&amp;[14],[ContractType].[ContractType].&amp;[15],[ContractType].[ContractType].&amp;[17],[ContractType].[ContractType].&amp;[18]}"/>
    <s v="{[HistoryDate].[HistoryDate].&amp;[20171003]}"/>
    <s v="{[ScenarioGroup].[ScenarioGroup].&amp;[2]}"/>
    <s v="{[AccountingUnitGroup].[AccountingUnitGroup].&amp;[2]}"/>
    <s v="[Calendar].[Calendar].[Year].&amp;[2019]"/>
    <s v="[Calendar].[Calendar].[Year].&amp;[2020]"/>
    <s v="[Calendar].[Calendar].[Year].&amp;[2021]"/>
    <s v="[Calendar].[Calendar].[Year].&amp;[2022]"/>
    <s v="[Calendar].[Calendar].[Year].&amp;[2023]"/>
    <s v="[Calendar].[Calendar].[Year].&amp;[2024]"/>
    <s v="[VesselType].[VesselType].&amp;[24695]"/>
    <s v="[Calendar].[Calendar].[Year].&amp;[2025]"/>
    <s v="[VesselType].[VesselType].&amp;[24696]"/>
    <s v="[VesselType].[VesselType].&amp;[24700]"/>
    <s v="[VesselType].[VesselType].&amp;[24698]"/>
    <s v="[VesselType].[VesselType].&amp;[24697]"/>
    <s v="{[ExposureCategory].[ExposureCategory].&amp;[2]}"/>
    <s v="{[ContractType].[ContractType].&amp;[1],[ContractType].[ContractType].&amp;[4],[ContractType].[ContractType].&amp;[5],[ContractType].[ContractType].&amp;[6],[ContractType].[ContractType].&amp;[7],[ContractType].[ContractType].&amp;[9],[ContractType].[ContractType].&amp;[-1],[ContractType].[ContractType].&amp;[10],[ContractType].[ContractType].&amp;[11],[ContractType].[ContractType].&amp;[13],[ContractType].[ContractType].&amp;[16],[ContractType].[ContractType].&amp;[17],[ContractType].[ContractType].&amp;[19]}"/>
    <s v="{[ScenarioGroup].[ScenarioGroup].&amp;[14]}"/>
    <s v="[Calendar].[Calendar].[Year].&amp;[2026]"/>
    <s v="[Calendar].[Calendar].[Year].&amp;[2027]"/>
    <s v="[Calendar].[Calendar].[Year].&amp;[2028]"/>
    <s v="[Calendar].[Calendar].[Year].&amp;[2029]"/>
    <s v="[Calendar].[Calendar].[Year].&amp;[2030]"/>
    <s v="[Calendar].[Calendar].[Year].&amp;[2031]"/>
    <s v="{[HistoryDate].[HistoryDate].&amp;[20190103]}"/>
    <s v="{[ProfitCenterStructure].[ProfitCenterStructure].[ProfitResponsible].&amp;[1],[ProfitCenterStructure].[ProfitCenterStructure].[ProfitResponsible].&amp;[2]}"/>
    <s v="###,###.00"/>
  </metadataStrings>
  <mdxMetadata count="73">
    <mdx n="0" f="v">
      <t c="11">
        <n x="1" s="1"/>
        <n x="2" s="1"/>
        <n x="3" s="1"/>
        <n x="4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3"/>
        <n x="8" s="1"/>
        <n x="9" s="1"/>
        <n x="10" s="1"/>
        <n x="11" s="1"/>
      </t>
    </mdx>
    <mdx n="0" f="v">
      <t c="11">
        <n x="1" s="1"/>
        <n x="24" s="1"/>
        <n x="3" s="1"/>
        <n x="4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8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0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1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2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2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3"/>
        <n x="5"/>
        <n x="6" s="1"/>
        <n x="7"/>
        <n x="25" s="1"/>
        <n x="9" s="1"/>
        <n x="26" s="1"/>
        <n x="11" s="1"/>
      </t>
    </mdx>
    <mdx n="0" f="v">
      <t c="12" si="35">
        <n x="1" s="1"/>
        <n x="2" s="1"/>
        <n x="3" s="1"/>
        <n x="22"/>
        <n x="5"/>
        <n x="6" s="1"/>
        <n x="13"/>
        <n x="8" s="1"/>
        <n x="33" s="1"/>
        <n x="10" s="1"/>
        <n x="34" s="1"/>
        <n x="11" s="1"/>
      </t>
    </mdx>
    <mdx n="0" f="v">
      <t c="12" si="35">
        <n x="1" s="1"/>
        <n x="2" s="1"/>
        <n x="3" s="1"/>
        <n x="22"/>
        <n x="5"/>
        <n x="6" s="1"/>
        <n x="14"/>
        <n x="8" s="1"/>
        <n x="33" s="1"/>
        <n x="10" s="1"/>
        <n x="34" s="1"/>
        <n x="11" s="1"/>
      </t>
    </mdx>
    <mdx n="0" f="v">
      <t c="12" si="35">
        <n x="1" s="1"/>
        <n x="2" s="1"/>
        <n x="3" s="1"/>
        <n x="22"/>
        <n x="5"/>
        <n x="6" s="1"/>
        <n x="15"/>
        <n x="8" s="1"/>
        <n x="33" s="1"/>
        <n x="10" s="1"/>
        <n x="34" s="1"/>
        <n x="11" s="1"/>
      </t>
    </mdx>
    <mdx n="0" f="v">
      <t c="12" si="35">
        <n x="1" s="1"/>
        <n x="2" s="1"/>
        <n x="3" s="1"/>
        <n x="22"/>
        <n x="5"/>
        <n x="6" s="1"/>
        <n x="16"/>
        <n x="8" s="1"/>
        <n x="33" s="1"/>
        <n x="10" s="1"/>
        <n x="34" s="1"/>
        <n x="11" s="1"/>
      </t>
    </mdx>
    <mdx n="0" f="v">
      <t c="12" si="35">
        <n x="1" s="1"/>
        <n x="2" s="1"/>
        <n x="3" s="1"/>
        <n x="22"/>
        <n x="5"/>
        <n x="6" s="1"/>
        <n x="17"/>
        <n x="8" s="1"/>
        <n x="33" s="1"/>
        <n x="10" s="1"/>
        <n x="34" s="1"/>
        <n x="11" s="1"/>
      </t>
    </mdx>
    <mdx n="0" f="v">
      <t c="12" si="35">
        <n x="1" s="1"/>
        <n x="2" s="1"/>
        <n x="3" s="1"/>
        <n x="22"/>
        <n x="5"/>
        <n x="6" s="1"/>
        <n x="19"/>
        <n x="8" s="1"/>
        <n x="33" s="1"/>
        <n x="10" s="1"/>
        <n x="34" s="1"/>
        <n x="11" s="1"/>
      </t>
    </mdx>
    <mdx n="0" f="v">
      <t c="12" si="35">
        <n x="1" s="1"/>
        <n x="2" s="1"/>
        <n x="3" s="1"/>
        <n x="22"/>
        <n x="5"/>
        <n x="6" s="1"/>
        <n x="27"/>
        <n x="8" s="1"/>
        <n x="33" s="1"/>
        <n x="10" s="1"/>
        <n x="34" s="1"/>
        <n x="11" s="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<sst xmlns="http://schemas.openxmlformats.org/spreadsheetml/2006/main" count="219" uniqueCount="33">
  <si>
    <t>Capacity rates</t>
  </si>
  <si>
    <t>Cover Rates</t>
  </si>
  <si>
    <t>Days</t>
  </si>
  <si>
    <t>USD/day</t>
  </si>
  <si>
    <t xml:space="preserve">Capacity </t>
  </si>
  <si>
    <t xml:space="preserve">Cover </t>
  </si>
  <si>
    <t>Vessel-index</t>
  </si>
  <si>
    <t>Baltic Rate Expectation</t>
  </si>
  <si>
    <t>Capacity value</t>
  </si>
  <si>
    <t>Cover value</t>
  </si>
  <si>
    <t>Panamax</t>
  </si>
  <si>
    <t>Supramax</t>
  </si>
  <si>
    <t>Handysize</t>
  </si>
  <si>
    <t>Dry Owner</t>
  </si>
  <si>
    <t>LR1</t>
  </si>
  <si>
    <t>MR</t>
  </si>
  <si>
    <t>Handy</t>
  </si>
  <si>
    <t>Tankers</t>
  </si>
  <si>
    <t>Net value*</t>
  </si>
  <si>
    <t>Discount rate</t>
  </si>
  <si>
    <t>Year</t>
  </si>
  <si>
    <t>Million USD</t>
  </si>
  <si>
    <t>Rate Expectation</t>
  </si>
  <si>
    <t>USD per Share</t>
  </si>
  <si>
    <t>Tankers (USD million)</t>
  </si>
  <si>
    <t>Dry Owner (USD million)</t>
  </si>
  <si>
    <t>Cost of Capacity</t>
  </si>
  <si>
    <t>Q4 2019</t>
  </si>
  <si>
    <t>Q3 2019</t>
  </si>
  <si>
    <t>Q1 2020</t>
  </si>
  <si>
    <t>Q2 2020</t>
  </si>
  <si>
    <t>Q3 2020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</si>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</sst>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kr.&quot;\ #,##0.00;[Red]&quot;kr.&quot;\ \-#,##0.00"/>
    <numFmt numFmtId="165" formatCode="_ &quot;kr.&quot;\ * #,##0.00_ ;_ &quot;kr.&quot;\ * \-#,##0.00_ ;_ &quot;kr.&quot;\ * &quot;-&quot;??_ ;_ @_ "/>
    <numFmt numFmtId="166" formatCode="#.00,,"/>
    <numFmt numFmtId="167" formatCode="#,,"/>
    <numFmt numFmtId="168" formatCode="0.0000"/>
    <numFmt numFmtId="169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color rgb="FF9C65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5" applyNumberFormat="0" applyAlignment="0" applyProtection="0"/>
    <xf numFmtId="0" fontId="5" fillId="28" borderId="26" applyNumberFormat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5" applyNumberFormat="0" applyAlignment="0" applyProtection="0"/>
    <xf numFmtId="0" fontId="12" fillId="0" borderId="30" applyNumberFormat="0" applyFill="0" applyAlignment="0" applyProtection="0"/>
    <xf numFmtId="0" fontId="1" fillId="32" borderId="31" applyNumberFormat="0" applyFont="0" applyAlignment="0" applyProtection="0"/>
    <xf numFmtId="0" fontId="13" fillId="27" borderId="32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9" fontId="1" fillId="0" borderId="0" applyFont="0" applyFill="0" applyBorder="0" applyAlignment="0" applyProtection="0"/>
    <xf numFmtId="0" fontId="21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" fontId="20" fillId="0" borderId="0" applyFill="0" applyBorder="0" applyAlignment="0" applyProtection="0"/>
    <xf numFmtId="0" fontId="1" fillId="0" borderId="0"/>
  </cellStyleXfs>
  <cellXfs count="99">
    <xf numFmtId="0" fontId="0" fillId="0" borderId="0" xfId="0"/>
    <xf numFmtId="0" fontId="15" fillId="0" borderId="0" xfId="0" applyFont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/>
    <xf numFmtId="2" fontId="17" fillId="0" borderId="2" xfId="0" applyNumberFormat="1" applyFont="1" applyBorder="1"/>
    <xf numFmtId="0" fontId="17" fillId="33" borderId="1" xfId="0" applyFont="1" applyFill="1" applyBorder="1"/>
    <xf numFmtId="2" fontId="17" fillId="33" borderId="2" xfId="0" applyNumberFormat="1" applyFont="1" applyFill="1" applyBorder="1"/>
    <xf numFmtId="2" fontId="17" fillId="33" borderId="2" xfId="22" applyNumberFormat="1" applyFont="1" applyFill="1" applyBorder="1"/>
    <xf numFmtId="2" fontId="17" fillId="33" borderId="1" xfId="0" applyNumberFormat="1" applyFont="1" applyFill="1" applyBorder="1"/>
    <xf numFmtId="2" fontId="17" fillId="33" borderId="1" xfId="22" applyNumberFormat="1" applyFont="1" applyFill="1" applyBorder="1"/>
    <xf numFmtId="164" fontId="17" fillId="33" borderId="1" xfId="0" applyNumberFormat="1" applyFont="1" applyFill="1" applyBorder="1"/>
    <xf numFmtId="0" fontId="15" fillId="0" borderId="3" xfId="0" applyFont="1" applyBorder="1" applyAlignment="1">
      <alignment horizontal="center"/>
    </xf>
    <xf numFmtId="0" fontId="0" fillId="0" borderId="4" xfId="0" applyBorder="1"/>
    <xf numFmtId="9" fontId="1" fillId="0" borderId="5" xfId="33" applyBorder="1"/>
    <xf numFmtId="0" fontId="17" fillId="33" borderId="4" xfId="0" applyFont="1" applyFill="1" applyBorder="1"/>
    <xf numFmtId="0" fontId="17" fillId="33" borderId="5" xfId="0" applyFont="1" applyFill="1" applyBorder="1"/>
    <xf numFmtId="0" fontId="17" fillId="33" borderId="6" xfId="0" applyFont="1" applyFill="1" applyBorder="1"/>
    <xf numFmtId="0" fontId="17" fillId="33" borderId="2" xfId="0" applyFont="1" applyFill="1" applyBorder="1"/>
    <xf numFmtId="0" fontId="10" fillId="33" borderId="7" xfId="0" applyFont="1" applyFill="1" applyBorder="1" applyAlignment="1">
      <alignment horizontal="center"/>
    </xf>
    <xf numFmtId="0" fontId="10" fillId="33" borderId="8" xfId="0" applyFont="1" applyFill="1" applyBorder="1" applyAlignment="1">
      <alignment horizontal="center"/>
    </xf>
    <xf numFmtId="0" fontId="10" fillId="33" borderId="9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34" borderId="12" xfId="0" applyFill="1" applyBorder="1"/>
    <xf numFmtId="0" fontId="15" fillId="34" borderId="13" xfId="0" applyFont="1" applyFill="1" applyBorder="1" applyAlignment="1">
      <alignment horizontal="center"/>
    </xf>
    <xf numFmtId="0" fontId="0" fillId="34" borderId="13" xfId="0" applyFill="1" applyBorder="1"/>
    <xf numFmtId="0" fontId="15" fillId="34" borderId="14" xfId="0" applyFont="1" applyFill="1" applyBorder="1"/>
    <xf numFmtId="0" fontId="0" fillId="34" borderId="0" xfId="0" applyFill="1"/>
    <xf numFmtId="166" fontId="0" fillId="34" borderId="0" xfId="0" applyNumberFormat="1" applyFill="1"/>
    <xf numFmtId="0" fontId="15" fillId="34" borderId="15" xfId="0" applyFont="1" applyFill="1" applyBorder="1"/>
    <xf numFmtId="0" fontId="0" fillId="34" borderId="3" xfId="0" applyFill="1" applyBorder="1"/>
    <xf numFmtId="166" fontId="0" fillId="34" borderId="3" xfId="0" applyNumberFormat="1" applyFill="1" applyBorder="1"/>
    <xf numFmtId="0" fontId="15" fillId="34" borderId="16" xfId="0" applyFont="1" applyFill="1" applyBorder="1"/>
    <xf numFmtId="0" fontId="0" fillId="34" borderId="17" xfId="0" applyFill="1" applyBorder="1"/>
    <xf numFmtId="166" fontId="0" fillId="34" borderId="17" xfId="0" applyNumberFormat="1" applyFill="1" applyBorder="1"/>
    <xf numFmtId="2" fontId="0" fillId="34" borderId="17" xfId="0" applyNumberFormat="1" applyFill="1" applyBorder="1"/>
    <xf numFmtId="0" fontId="15" fillId="34" borderId="12" xfId="0" applyFont="1" applyFill="1" applyBorder="1"/>
    <xf numFmtId="2" fontId="15" fillId="34" borderId="13" xfId="0" applyNumberFormat="1" applyFont="1" applyFill="1" applyBorder="1" applyAlignment="1">
      <alignment horizontal="center"/>
    </xf>
    <xf numFmtId="2" fontId="0" fillId="0" borderId="0" xfId="0" applyNumberFormat="1"/>
    <xf numFmtId="2" fontId="17" fillId="0" borderId="0" xfId="0" applyNumberFormat="1" applyFont="1"/>
    <xf numFmtId="0" fontId="17" fillId="0" borderId="0" xfId="0" applyFont="1"/>
    <xf numFmtId="1" fontId="18" fillId="33" borderId="1" xfId="0" applyNumberFormat="1" applyFont="1" applyFill="1" applyBorder="1"/>
    <xf numFmtId="1" fontId="18" fillId="33" borderId="2" xfId="0" applyNumberFormat="1" applyFont="1" applyFill="1" applyBorder="1"/>
    <xf numFmtId="1" fontId="18" fillId="33" borderId="2" xfId="22" applyNumberFormat="1" applyFont="1" applyFill="1" applyBorder="1"/>
    <xf numFmtId="1" fontId="18" fillId="0" borderId="2" xfId="0" applyNumberFormat="1" applyFont="1" applyBorder="1"/>
    <xf numFmtId="1" fontId="18" fillId="33" borderId="1" xfId="22" applyNumberFormat="1" applyFont="1" applyFill="1" applyBorder="1"/>
    <xf numFmtId="0" fontId="18" fillId="35" borderId="1" xfId="0" applyFont="1" applyFill="1" applyBorder="1"/>
    <xf numFmtId="0" fontId="19" fillId="35" borderId="7" xfId="0" applyFont="1" applyFill="1" applyBorder="1" applyAlignment="1">
      <alignment horizontal="center"/>
    </xf>
    <xf numFmtId="0" fontId="19" fillId="35" borderId="8" xfId="0" applyFont="1" applyFill="1" applyBorder="1" applyAlignment="1">
      <alignment horizontal="center"/>
    </xf>
    <xf numFmtId="0" fontId="19" fillId="35" borderId="9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5" borderId="3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5" fillId="0" borderId="0" xfId="0" applyFont="1"/>
    <xf numFmtId="166" fontId="0" fillId="0" borderId="0" xfId="0" applyNumberFormat="1"/>
    <xf numFmtId="167" fontId="0" fillId="0" borderId="0" xfId="0" applyNumberFormat="1"/>
    <xf numFmtId="0" fontId="0" fillId="35" borderId="4" xfId="0" applyFill="1" applyBorder="1"/>
    <xf numFmtId="0" fontId="15" fillId="35" borderId="18" xfId="0" applyFont="1" applyFill="1" applyBorder="1"/>
    <xf numFmtId="0" fontId="0" fillId="35" borderId="19" xfId="0" applyFill="1" applyBorder="1"/>
    <xf numFmtId="167" fontId="0" fillId="35" borderId="19" xfId="0" applyNumberFormat="1" applyFill="1" applyBorder="1"/>
    <xf numFmtId="2" fontId="18" fillId="35" borderId="20" xfId="0" applyNumberFormat="1" applyFont="1" applyFill="1" applyBorder="1" applyAlignment="1">
      <alignment horizontal="right"/>
    </xf>
    <xf numFmtId="0" fontId="0" fillId="35" borderId="12" xfId="0" applyFill="1" applyBorder="1"/>
    <xf numFmtId="0" fontId="15" fillId="35" borderId="13" xfId="0" applyFont="1" applyFill="1" applyBorder="1" applyAlignment="1">
      <alignment horizontal="center"/>
    </xf>
    <xf numFmtId="0" fontId="0" fillId="35" borderId="13" xfId="0" applyFill="1" applyBorder="1"/>
    <xf numFmtId="0" fontId="15" fillId="35" borderId="21" xfId="0" applyFont="1" applyFill="1" applyBorder="1" applyAlignment="1">
      <alignment horizontal="center"/>
    </xf>
    <xf numFmtId="0" fontId="15" fillId="35" borderId="14" xfId="0" applyFont="1" applyFill="1" applyBorder="1"/>
    <xf numFmtId="9" fontId="1" fillId="35" borderId="0" xfId="33" applyFill="1"/>
    <xf numFmtId="0" fontId="15" fillId="35" borderId="15" xfId="0" applyFont="1" applyFill="1" applyBorder="1"/>
    <xf numFmtId="9" fontId="1" fillId="35" borderId="3" xfId="33" applyFill="1" applyBorder="1"/>
    <xf numFmtId="166" fontId="0" fillId="35" borderId="19" xfId="0" applyNumberFormat="1" applyFill="1" applyBorder="1"/>
    <xf numFmtId="2" fontId="0" fillId="35" borderId="19" xfId="0" applyNumberFormat="1" applyFill="1" applyBorder="1"/>
    <xf numFmtId="1" fontId="0" fillId="35" borderId="0" xfId="0" applyNumberFormat="1" applyFill="1"/>
    <xf numFmtId="1" fontId="0" fillId="35" borderId="22" xfId="0" applyNumberFormat="1" applyFill="1" applyBorder="1"/>
    <xf numFmtId="1" fontId="0" fillId="35" borderId="3" xfId="0" applyNumberFormat="1" applyFill="1" applyBorder="1"/>
    <xf numFmtId="1" fontId="0" fillId="35" borderId="23" xfId="0" applyNumberFormat="1" applyFill="1" applyBorder="1"/>
    <xf numFmtId="0" fontId="18" fillId="35" borderId="1" xfId="0" applyFont="1" applyFill="1" applyBorder="1" applyAlignment="1">
      <alignment horizontal="right"/>
    </xf>
    <xf numFmtId="1" fontId="18" fillId="36" borderId="2" xfId="0" applyNumberFormat="1" applyFont="1" applyFill="1" applyBorder="1"/>
    <xf numFmtId="0" fontId="15" fillId="37" borderId="14" xfId="0" applyFont="1" applyFill="1" applyBorder="1"/>
    <xf numFmtId="0" fontId="0" fillId="37" borderId="0" xfId="0" applyFill="1"/>
    <xf numFmtId="166" fontId="0" fillId="37" borderId="0" xfId="0" applyNumberFormat="1" applyFill="1"/>
    <xf numFmtId="2" fontId="0" fillId="37" borderId="0" xfId="0" applyNumberFormat="1" applyFill="1"/>
    <xf numFmtId="1" fontId="0" fillId="37" borderId="22" xfId="0" applyNumberFormat="1" applyFill="1" applyBorder="1"/>
    <xf numFmtId="167" fontId="0" fillId="37" borderId="0" xfId="0" applyNumberFormat="1" applyFill="1"/>
    <xf numFmtId="9" fontId="1" fillId="36" borderId="5" xfId="33" applyFill="1" applyBorder="1"/>
    <xf numFmtId="1" fontId="0" fillId="0" borderId="0" xfId="0" applyNumberFormat="1"/>
    <xf numFmtId="168" fontId="0" fillId="0" borderId="0" xfId="0" applyNumberFormat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1" fontId="15" fillId="0" borderId="0" xfId="0" applyNumberFormat="1" applyFont="1"/>
    <xf numFmtId="1" fontId="17" fillId="0" borderId="0" xfId="0" applyNumberFormat="1" applyFont="1"/>
    <xf numFmtId="0" fontId="15" fillId="34" borderId="13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166" fontId="0" fillId="34" borderId="0" xfId="0" applyNumberFormat="1" applyFill="1" applyAlignment="1">
      <alignment horizontal="center" vertical="center"/>
    </xf>
    <xf numFmtId="166" fontId="0" fillId="34" borderId="22" xfId="0" applyNumberFormat="1" applyFill="1" applyBorder="1" applyAlignment="1">
      <alignment horizontal="center" vertical="center"/>
    </xf>
    <xf numFmtId="166" fontId="0" fillId="34" borderId="3" xfId="0" applyNumberFormat="1" applyFill="1" applyBorder="1" applyAlignment="1">
      <alignment horizontal="center" vertical="center"/>
    </xf>
    <xf numFmtId="166" fontId="0" fillId="34" borderId="23" xfId="0" applyNumberFormat="1" applyFill="1" applyBorder="1" applyAlignment="1">
      <alignment horizontal="center" vertical="center"/>
    </xf>
    <xf numFmtId="166" fontId="0" fillId="34" borderId="17" xfId="0" applyNumberFormat="1" applyFill="1" applyBorder="1" applyAlignment="1">
      <alignment horizontal="center" vertical="center"/>
    </xf>
    <xf numFmtId="166" fontId="0" fillId="34" borderId="24" xfId="0" applyNumberFormat="1" applyFill="1" applyBorder="1" applyAlignment="1">
      <alignment horizontal="center" vertical="center"/>
    </xf>
  </cellXfs>
  <cellStyles count="228">
    <cellStyle name="20% - Accent1" xfId="1" builtinId="30" customBuiltin="1"/>
    <cellStyle name="20% - Accent1 10" xfId="38" xr:uid="{00000000-0005-0000-0000-000001000000}"/>
    <cellStyle name="20% - Accent1 11" xfId="39" xr:uid="{00000000-0005-0000-0000-000002000000}"/>
    <cellStyle name="20% - Accent1 12" xfId="40" xr:uid="{00000000-0005-0000-0000-000003000000}"/>
    <cellStyle name="20% - Accent1 13" xfId="41" xr:uid="{00000000-0005-0000-0000-000004000000}"/>
    <cellStyle name="20% - Accent1 2" xfId="42" xr:uid="{00000000-0005-0000-0000-000005000000}"/>
    <cellStyle name="20% - Accent1 3" xfId="43" xr:uid="{00000000-0005-0000-0000-000006000000}"/>
    <cellStyle name="20% - Accent1 4" xfId="44" xr:uid="{00000000-0005-0000-0000-000007000000}"/>
    <cellStyle name="20% - Accent1 5" xfId="45" xr:uid="{00000000-0005-0000-0000-000008000000}"/>
    <cellStyle name="20% - Accent1 6" xfId="46" xr:uid="{00000000-0005-0000-0000-000009000000}"/>
    <cellStyle name="20% - Accent1 7" xfId="47" xr:uid="{00000000-0005-0000-0000-00000A000000}"/>
    <cellStyle name="20% - Accent1 8" xfId="48" xr:uid="{00000000-0005-0000-0000-00000B000000}"/>
    <cellStyle name="20% - Accent1 9" xfId="49" xr:uid="{00000000-0005-0000-0000-00000C000000}"/>
    <cellStyle name="20% - Accent2" xfId="2" builtinId="34" customBuiltin="1"/>
    <cellStyle name="20% - Accent2 10" xfId="50" xr:uid="{00000000-0005-0000-0000-00000E000000}"/>
    <cellStyle name="20% - Accent2 11" xfId="51" xr:uid="{00000000-0005-0000-0000-00000F000000}"/>
    <cellStyle name="20% - Accent2 12" xfId="52" xr:uid="{00000000-0005-0000-0000-000010000000}"/>
    <cellStyle name="20% - Accent2 13" xfId="53" xr:uid="{00000000-0005-0000-0000-000011000000}"/>
    <cellStyle name="20% - Accent2 2" xfId="54" xr:uid="{00000000-0005-0000-0000-000012000000}"/>
    <cellStyle name="20% - Accent2 3" xfId="55" xr:uid="{00000000-0005-0000-0000-000013000000}"/>
    <cellStyle name="20% - Accent2 4" xfId="56" xr:uid="{00000000-0005-0000-0000-000014000000}"/>
    <cellStyle name="20% - Accent2 5" xfId="57" xr:uid="{00000000-0005-0000-0000-000015000000}"/>
    <cellStyle name="20% - Accent2 6" xfId="58" xr:uid="{00000000-0005-0000-0000-000016000000}"/>
    <cellStyle name="20% - Accent2 7" xfId="59" xr:uid="{00000000-0005-0000-0000-000017000000}"/>
    <cellStyle name="20% - Accent2 8" xfId="60" xr:uid="{00000000-0005-0000-0000-000018000000}"/>
    <cellStyle name="20% - Accent2 9" xfId="61" xr:uid="{00000000-0005-0000-0000-000019000000}"/>
    <cellStyle name="20% - Accent3" xfId="3" builtinId="38" customBuiltin="1"/>
    <cellStyle name="20% - Accent3 10" xfId="62" xr:uid="{00000000-0005-0000-0000-00001B000000}"/>
    <cellStyle name="20% - Accent3 11" xfId="63" xr:uid="{00000000-0005-0000-0000-00001C000000}"/>
    <cellStyle name="20% - Accent3 12" xfId="64" xr:uid="{00000000-0005-0000-0000-00001D000000}"/>
    <cellStyle name="20% - Accent3 13" xfId="65" xr:uid="{00000000-0005-0000-0000-00001E000000}"/>
    <cellStyle name="20% - Accent3 2" xfId="66" xr:uid="{00000000-0005-0000-0000-00001F000000}"/>
    <cellStyle name="20% - Accent3 3" xfId="67" xr:uid="{00000000-0005-0000-0000-000020000000}"/>
    <cellStyle name="20% - Accent3 4" xfId="68" xr:uid="{00000000-0005-0000-0000-000021000000}"/>
    <cellStyle name="20% - Accent3 5" xfId="69" xr:uid="{00000000-0005-0000-0000-000022000000}"/>
    <cellStyle name="20% - Accent3 6" xfId="70" xr:uid="{00000000-0005-0000-0000-000023000000}"/>
    <cellStyle name="20% - Accent3 7" xfId="71" xr:uid="{00000000-0005-0000-0000-000024000000}"/>
    <cellStyle name="20% - Accent3 8" xfId="72" xr:uid="{00000000-0005-0000-0000-000025000000}"/>
    <cellStyle name="20% - Accent3 9" xfId="73" xr:uid="{00000000-0005-0000-0000-000026000000}"/>
    <cellStyle name="20% - Accent4" xfId="4" builtinId="42" customBuiltin="1"/>
    <cellStyle name="20% - Accent4 10" xfId="74" xr:uid="{00000000-0005-0000-0000-000028000000}"/>
    <cellStyle name="20% - Accent4 11" xfId="75" xr:uid="{00000000-0005-0000-0000-000029000000}"/>
    <cellStyle name="20% - Accent4 12" xfId="76" xr:uid="{00000000-0005-0000-0000-00002A000000}"/>
    <cellStyle name="20% - Accent4 13" xfId="77" xr:uid="{00000000-0005-0000-0000-00002B000000}"/>
    <cellStyle name="20% - Accent4 2" xfId="78" xr:uid="{00000000-0005-0000-0000-00002C000000}"/>
    <cellStyle name="20% - Accent4 3" xfId="79" xr:uid="{00000000-0005-0000-0000-00002D000000}"/>
    <cellStyle name="20% - Accent4 4" xfId="80" xr:uid="{00000000-0005-0000-0000-00002E000000}"/>
    <cellStyle name="20% - Accent4 5" xfId="81" xr:uid="{00000000-0005-0000-0000-00002F000000}"/>
    <cellStyle name="20% - Accent4 6" xfId="82" xr:uid="{00000000-0005-0000-0000-000030000000}"/>
    <cellStyle name="20% - Accent4 7" xfId="83" xr:uid="{00000000-0005-0000-0000-000031000000}"/>
    <cellStyle name="20% - Accent4 8" xfId="84" xr:uid="{00000000-0005-0000-0000-000032000000}"/>
    <cellStyle name="20% - Accent4 9" xfId="85" xr:uid="{00000000-0005-0000-0000-000033000000}"/>
    <cellStyle name="20% - Accent5" xfId="5" builtinId="46" customBuiltin="1"/>
    <cellStyle name="20% - Accent5 10" xfId="86" xr:uid="{00000000-0005-0000-0000-000035000000}"/>
    <cellStyle name="20% - Accent5 11" xfId="87" xr:uid="{00000000-0005-0000-0000-000036000000}"/>
    <cellStyle name="20% - Accent5 12" xfId="88" xr:uid="{00000000-0005-0000-0000-000037000000}"/>
    <cellStyle name="20% - Accent5 13" xfId="89" xr:uid="{00000000-0005-0000-0000-000038000000}"/>
    <cellStyle name="20% - Accent5 2" xfId="90" xr:uid="{00000000-0005-0000-0000-000039000000}"/>
    <cellStyle name="20% - Accent5 3" xfId="91" xr:uid="{00000000-0005-0000-0000-00003A000000}"/>
    <cellStyle name="20% - Accent5 4" xfId="92" xr:uid="{00000000-0005-0000-0000-00003B000000}"/>
    <cellStyle name="20% - Accent5 5" xfId="93" xr:uid="{00000000-0005-0000-0000-00003C000000}"/>
    <cellStyle name="20% - Accent5 6" xfId="94" xr:uid="{00000000-0005-0000-0000-00003D000000}"/>
    <cellStyle name="20% - Accent5 7" xfId="95" xr:uid="{00000000-0005-0000-0000-00003E000000}"/>
    <cellStyle name="20% - Accent5 8" xfId="96" xr:uid="{00000000-0005-0000-0000-00003F000000}"/>
    <cellStyle name="20% - Accent5 9" xfId="97" xr:uid="{00000000-0005-0000-0000-000040000000}"/>
    <cellStyle name="20% - Accent6" xfId="6" builtinId="50" customBuiltin="1"/>
    <cellStyle name="20% - Accent6 10" xfId="98" xr:uid="{00000000-0005-0000-0000-000042000000}"/>
    <cellStyle name="20% - Accent6 11" xfId="99" xr:uid="{00000000-0005-0000-0000-000043000000}"/>
    <cellStyle name="20% - Accent6 12" xfId="100" xr:uid="{00000000-0005-0000-0000-000044000000}"/>
    <cellStyle name="20% - Accent6 13" xfId="101" xr:uid="{00000000-0005-0000-0000-000045000000}"/>
    <cellStyle name="20% - Accent6 2" xfId="102" xr:uid="{00000000-0005-0000-0000-000046000000}"/>
    <cellStyle name="20% - Accent6 3" xfId="103" xr:uid="{00000000-0005-0000-0000-000047000000}"/>
    <cellStyle name="20% - Accent6 4" xfId="104" xr:uid="{00000000-0005-0000-0000-000048000000}"/>
    <cellStyle name="20% - Accent6 5" xfId="105" xr:uid="{00000000-0005-0000-0000-000049000000}"/>
    <cellStyle name="20% - Accent6 6" xfId="106" xr:uid="{00000000-0005-0000-0000-00004A000000}"/>
    <cellStyle name="20% - Accent6 7" xfId="107" xr:uid="{00000000-0005-0000-0000-00004B000000}"/>
    <cellStyle name="20% - Accent6 8" xfId="108" xr:uid="{00000000-0005-0000-0000-00004C000000}"/>
    <cellStyle name="20% - Accent6 9" xfId="109" xr:uid="{00000000-0005-0000-0000-00004D000000}"/>
    <cellStyle name="40% - Accent1" xfId="7" builtinId="31" customBuiltin="1"/>
    <cellStyle name="40% - Accent1 10" xfId="110" xr:uid="{00000000-0005-0000-0000-00004F000000}"/>
    <cellStyle name="40% - Accent1 11" xfId="111" xr:uid="{00000000-0005-0000-0000-000050000000}"/>
    <cellStyle name="40% - Accent1 12" xfId="112" xr:uid="{00000000-0005-0000-0000-000051000000}"/>
    <cellStyle name="40% - Accent1 13" xfId="113" xr:uid="{00000000-0005-0000-0000-000052000000}"/>
    <cellStyle name="40% - Accent1 2" xfId="114" xr:uid="{00000000-0005-0000-0000-000053000000}"/>
    <cellStyle name="40% - Accent1 3" xfId="115" xr:uid="{00000000-0005-0000-0000-000054000000}"/>
    <cellStyle name="40% - Accent1 4" xfId="116" xr:uid="{00000000-0005-0000-0000-000055000000}"/>
    <cellStyle name="40% - Accent1 5" xfId="117" xr:uid="{00000000-0005-0000-0000-000056000000}"/>
    <cellStyle name="40% - Accent1 6" xfId="118" xr:uid="{00000000-0005-0000-0000-000057000000}"/>
    <cellStyle name="40% - Accent1 7" xfId="119" xr:uid="{00000000-0005-0000-0000-000058000000}"/>
    <cellStyle name="40% - Accent1 8" xfId="120" xr:uid="{00000000-0005-0000-0000-000059000000}"/>
    <cellStyle name="40% - Accent1 9" xfId="121" xr:uid="{00000000-0005-0000-0000-00005A000000}"/>
    <cellStyle name="40% - Accent2" xfId="8" builtinId="35" customBuiltin="1"/>
    <cellStyle name="40% - Accent2 10" xfId="122" xr:uid="{00000000-0005-0000-0000-00005C000000}"/>
    <cellStyle name="40% - Accent2 11" xfId="123" xr:uid="{00000000-0005-0000-0000-00005D000000}"/>
    <cellStyle name="40% - Accent2 12" xfId="124" xr:uid="{00000000-0005-0000-0000-00005E000000}"/>
    <cellStyle name="40% - Accent2 13" xfId="125" xr:uid="{00000000-0005-0000-0000-00005F000000}"/>
    <cellStyle name="40% - Accent2 2" xfId="126" xr:uid="{00000000-0005-0000-0000-000060000000}"/>
    <cellStyle name="40% - Accent2 3" xfId="127" xr:uid="{00000000-0005-0000-0000-000061000000}"/>
    <cellStyle name="40% - Accent2 4" xfId="128" xr:uid="{00000000-0005-0000-0000-000062000000}"/>
    <cellStyle name="40% - Accent2 5" xfId="129" xr:uid="{00000000-0005-0000-0000-000063000000}"/>
    <cellStyle name="40% - Accent2 6" xfId="130" xr:uid="{00000000-0005-0000-0000-000064000000}"/>
    <cellStyle name="40% - Accent2 7" xfId="131" xr:uid="{00000000-0005-0000-0000-000065000000}"/>
    <cellStyle name="40% - Accent2 8" xfId="132" xr:uid="{00000000-0005-0000-0000-000066000000}"/>
    <cellStyle name="40% - Accent2 9" xfId="133" xr:uid="{00000000-0005-0000-0000-000067000000}"/>
    <cellStyle name="40% - Accent3" xfId="9" builtinId="39" customBuiltin="1"/>
    <cellStyle name="40% - Accent3 10" xfId="134" xr:uid="{00000000-0005-0000-0000-000069000000}"/>
    <cellStyle name="40% - Accent3 11" xfId="135" xr:uid="{00000000-0005-0000-0000-00006A000000}"/>
    <cellStyle name="40% - Accent3 12" xfId="136" xr:uid="{00000000-0005-0000-0000-00006B000000}"/>
    <cellStyle name="40% - Accent3 13" xfId="137" xr:uid="{00000000-0005-0000-0000-00006C000000}"/>
    <cellStyle name="40% - Accent3 2" xfId="138" xr:uid="{00000000-0005-0000-0000-00006D000000}"/>
    <cellStyle name="40% - Accent3 3" xfId="139" xr:uid="{00000000-0005-0000-0000-00006E000000}"/>
    <cellStyle name="40% - Accent3 4" xfId="140" xr:uid="{00000000-0005-0000-0000-00006F000000}"/>
    <cellStyle name="40% - Accent3 5" xfId="141" xr:uid="{00000000-0005-0000-0000-000070000000}"/>
    <cellStyle name="40% - Accent3 6" xfId="142" xr:uid="{00000000-0005-0000-0000-000071000000}"/>
    <cellStyle name="40% - Accent3 7" xfId="143" xr:uid="{00000000-0005-0000-0000-000072000000}"/>
    <cellStyle name="40% - Accent3 8" xfId="144" xr:uid="{00000000-0005-0000-0000-000073000000}"/>
    <cellStyle name="40% - Accent3 9" xfId="145" xr:uid="{00000000-0005-0000-0000-000074000000}"/>
    <cellStyle name="40% - Accent4" xfId="10" builtinId="43" customBuiltin="1"/>
    <cellStyle name="40% - Accent4 10" xfId="146" xr:uid="{00000000-0005-0000-0000-000076000000}"/>
    <cellStyle name="40% - Accent4 11" xfId="147" xr:uid="{00000000-0005-0000-0000-000077000000}"/>
    <cellStyle name="40% - Accent4 12" xfId="148" xr:uid="{00000000-0005-0000-0000-000078000000}"/>
    <cellStyle name="40% - Accent4 13" xfId="149" xr:uid="{00000000-0005-0000-0000-000079000000}"/>
    <cellStyle name="40% - Accent4 2" xfId="150" xr:uid="{00000000-0005-0000-0000-00007A000000}"/>
    <cellStyle name="40% - Accent4 3" xfId="151" xr:uid="{00000000-0005-0000-0000-00007B000000}"/>
    <cellStyle name="40% - Accent4 4" xfId="152" xr:uid="{00000000-0005-0000-0000-00007C000000}"/>
    <cellStyle name="40% - Accent4 5" xfId="153" xr:uid="{00000000-0005-0000-0000-00007D000000}"/>
    <cellStyle name="40% - Accent4 6" xfId="154" xr:uid="{00000000-0005-0000-0000-00007E000000}"/>
    <cellStyle name="40% - Accent4 7" xfId="155" xr:uid="{00000000-0005-0000-0000-00007F000000}"/>
    <cellStyle name="40% - Accent4 8" xfId="156" xr:uid="{00000000-0005-0000-0000-000080000000}"/>
    <cellStyle name="40% - Accent4 9" xfId="157" xr:uid="{00000000-0005-0000-0000-000081000000}"/>
    <cellStyle name="40% - Accent5" xfId="11" builtinId="47" customBuiltin="1"/>
    <cellStyle name="40% - Accent5 10" xfId="158" xr:uid="{00000000-0005-0000-0000-000083000000}"/>
    <cellStyle name="40% - Accent5 11" xfId="159" xr:uid="{00000000-0005-0000-0000-000084000000}"/>
    <cellStyle name="40% - Accent5 12" xfId="160" xr:uid="{00000000-0005-0000-0000-000085000000}"/>
    <cellStyle name="40% - Accent5 13" xfId="161" xr:uid="{00000000-0005-0000-0000-000086000000}"/>
    <cellStyle name="40% - Accent5 2" xfId="162" xr:uid="{00000000-0005-0000-0000-000087000000}"/>
    <cellStyle name="40% - Accent5 3" xfId="163" xr:uid="{00000000-0005-0000-0000-000088000000}"/>
    <cellStyle name="40% - Accent5 4" xfId="164" xr:uid="{00000000-0005-0000-0000-000089000000}"/>
    <cellStyle name="40% - Accent5 5" xfId="165" xr:uid="{00000000-0005-0000-0000-00008A000000}"/>
    <cellStyle name="40% - Accent5 6" xfId="166" xr:uid="{00000000-0005-0000-0000-00008B000000}"/>
    <cellStyle name="40% - Accent5 7" xfId="167" xr:uid="{00000000-0005-0000-0000-00008C000000}"/>
    <cellStyle name="40% - Accent5 8" xfId="168" xr:uid="{00000000-0005-0000-0000-00008D000000}"/>
    <cellStyle name="40% - Accent5 9" xfId="169" xr:uid="{00000000-0005-0000-0000-00008E000000}"/>
    <cellStyle name="40% - Accent6" xfId="12" builtinId="51" customBuiltin="1"/>
    <cellStyle name="40% - Accent6 10" xfId="170" xr:uid="{00000000-0005-0000-0000-000090000000}"/>
    <cellStyle name="40% - Accent6 11" xfId="171" xr:uid="{00000000-0005-0000-0000-000091000000}"/>
    <cellStyle name="40% - Accent6 12" xfId="172" xr:uid="{00000000-0005-0000-0000-000092000000}"/>
    <cellStyle name="40% - Accent6 13" xfId="173" xr:uid="{00000000-0005-0000-0000-000093000000}"/>
    <cellStyle name="40% - Accent6 2" xfId="174" xr:uid="{00000000-0005-0000-0000-000094000000}"/>
    <cellStyle name="40% - Accent6 3" xfId="175" xr:uid="{00000000-0005-0000-0000-000095000000}"/>
    <cellStyle name="40% - Accent6 4" xfId="176" xr:uid="{00000000-0005-0000-0000-000096000000}"/>
    <cellStyle name="40% - Accent6 5" xfId="177" xr:uid="{00000000-0005-0000-0000-000097000000}"/>
    <cellStyle name="40% - Accent6 6" xfId="178" xr:uid="{00000000-0005-0000-0000-000098000000}"/>
    <cellStyle name="40% - Accent6 7" xfId="179" xr:uid="{00000000-0005-0000-0000-000099000000}"/>
    <cellStyle name="40% - Accent6 8" xfId="180" xr:uid="{00000000-0005-0000-0000-00009A000000}"/>
    <cellStyle name="40% - Accent6 9" xfId="181" xr:uid="{00000000-0005-0000-0000-00009B000000}"/>
    <cellStyle name="60% - Accent1 2" xfId="220" xr:uid="{00000000-0005-0000-0000-00009C000000}"/>
    <cellStyle name="60% - Accent2 2" xfId="221" xr:uid="{00000000-0005-0000-0000-00009D000000}"/>
    <cellStyle name="60% - Accent3 2" xfId="222" xr:uid="{00000000-0005-0000-0000-00009E000000}"/>
    <cellStyle name="60% - Accent4 2" xfId="223" xr:uid="{00000000-0005-0000-0000-00009F000000}"/>
    <cellStyle name="60% - Accent5 2" xfId="224" xr:uid="{00000000-0005-0000-0000-0000A0000000}"/>
    <cellStyle name="60% - Accent6 2" xfId="225" xr:uid="{00000000-0005-0000-0000-0000A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Comma 2" xfId="182" xr:uid="{00000000-0005-0000-0000-0000AB000000}"/>
    <cellStyle name="Comma 3" xfId="37" xr:uid="{00000000-0005-0000-0000-0000AC000000}"/>
    <cellStyle name="Currency" xfId="22" builtinId="4"/>
    <cellStyle name="Explanatory Text" xfId="23" builtinId="53" customBuiltin="1"/>
    <cellStyle name="Good" xfId="24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Input" xfId="29" builtinId="20" customBuiltin="1"/>
    <cellStyle name="Linked Cell" xfId="30" builtinId="24" customBuiltin="1"/>
    <cellStyle name="Neutral 2" xfId="219" xr:uid="{00000000-0005-0000-0000-0000B6000000}"/>
    <cellStyle name="Normal" xfId="0" builtinId="0"/>
    <cellStyle name="Normal 11" xfId="183" xr:uid="{00000000-0005-0000-0000-0000B8000000}"/>
    <cellStyle name="Normal 2" xfId="184" xr:uid="{00000000-0005-0000-0000-0000B9000000}"/>
    <cellStyle name="Normal 2 10" xfId="185" xr:uid="{00000000-0005-0000-0000-0000BA000000}"/>
    <cellStyle name="Normal 2 11" xfId="186" xr:uid="{00000000-0005-0000-0000-0000BB000000}"/>
    <cellStyle name="Normal 2 12" xfId="227" xr:uid="{00000000-0005-0000-0000-0000BC000000}"/>
    <cellStyle name="Normal 2 2" xfId="187" xr:uid="{00000000-0005-0000-0000-0000BD000000}"/>
    <cellStyle name="Normal 2 3" xfId="188" xr:uid="{00000000-0005-0000-0000-0000BE000000}"/>
    <cellStyle name="Normal 2 4" xfId="189" xr:uid="{00000000-0005-0000-0000-0000BF000000}"/>
    <cellStyle name="Normal 2 5" xfId="190" xr:uid="{00000000-0005-0000-0000-0000C0000000}"/>
    <cellStyle name="Normal 2 6" xfId="191" xr:uid="{00000000-0005-0000-0000-0000C1000000}"/>
    <cellStyle name="Normal 2 7" xfId="192" xr:uid="{00000000-0005-0000-0000-0000C2000000}"/>
    <cellStyle name="Normal 2 8" xfId="193" xr:uid="{00000000-0005-0000-0000-0000C3000000}"/>
    <cellStyle name="Normal 2 9" xfId="194" xr:uid="{00000000-0005-0000-0000-0000C4000000}"/>
    <cellStyle name="Normal 3" xfId="195" xr:uid="{00000000-0005-0000-0000-0000C5000000}"/>
    <cellStyle name="Normal 3 2" xfId="196" xr:uid="{00000000-0005-0000-0000-0000C6000000}"/>
    <cellStyle name="Normal 4" xfId="197" xr:uid="{00000000-0005-0000-0000-0000C7000000}"/>
    <cellStyle name="Normal 4 2" xfId="198" xr:uid="{00000000-0005-0000-0000-0000C8000000}"/>
    <cellStyle name="Normal 5" xfId="199" xr:uid="{00000000-0005-0000-0000-0000C9000000}"/>
    <cellStyle name="Normal 5 2" xfId="200" xr:uid="{00000000-0005-0000-0000-0000CA000000}"/>
    <cellStyle name="Normal 6" xfId="201" xr:uid="{00000000-0005-0000-0000-0000CB000000}"/>
    <cellStyle name="Normal 6 2" xfId="202" xr:uid="{00000000-0005-0000-0000-0000CC000000}"/>
    <cellStyle name="Normal 7" xfId="226" xr:uid="{00000000-0005-0000-0000-0000CD000000}"/>
    <cellStyle name="Normal 7 2" xfId="203" xr:uid="{00000000-0005-0000-0000-0000CE000000}"/>
    <cellStyle name="Normal 8 2" xfId="204" xr:uid="{00000000-0005-0000-0000-0000CF000000}"/>
    <cellStyle name="Normal 9 2" xfId="205" xr:uid="{00000000-0005-0000-0000-0000D0000000}"/>
    <cellStyle name="Note" xfId="31" builtinId="10" customBuiltin="1"/>
    <cellStyle name="Note 10" xfId="206" xr:uid="{00000000-0005-0000-0000-0000D2000000}"/>
    <cellStyle name="Note 11" xfId="207" xr:uid="{00000000-0005-0000-0000-0000D3000000}"/>
    <cellStyle name="Note 12" xfId="208" xr:uid="{00000000-0005-0000-0000-0000D4000000}"/>
    <cellStyle name="Note 13" xfId="209" xr:uid="{00000000-0005-0000-0000-0000D5000000}"/>
    <cellStyle name="Note 2" xfId="210" xr:uid="{00000000-0005-0000-0000-0000D6000000}"/>
    <cellStyle name="Note 3" xfId="211" xr:uid="{00000000-0005-0000-0000-0000D7000000}"/>
    <cellStyle name="Note 4" xfId="212" xr:uid="{00000000-0005-0000-0000-0000D8000000}"/>
    <cellStyle name="Note 5" xfId="213" xr:uid="{00000000-0005-0000-0000-0000D9000000}"/>
    <cellStyle name="Note 6" xfId="214" xr:uid="{00000000-0005-0000-0000-0000DA000000}"/>
    <cellStyle name="Note 7" xfId="215" xr:uid="{00000000-0005-0000-0000-0000DB000000}"/>
    <cellStyle name="Note 8" xfId="216" xr:uid="{00000000-0005-0000-0000-0000DC000000}"/>
    <cellStyle name="Note 9" xfId="217" xr:uid="{00000000-0005-0000-0000-0000DD000000}"/>
    <cellStyle name="Output" xfId="32" builtinId="21" customBuiltin="1"/>
    <cellStyle name="Percent" xfId="33" builtinId="5"/>
    <cellStyle name="Percent 11" xfId="218" xr:uid="{00000000-0005-0000-0000-0000E0000000}"/>
    <cellStyle name="Title" xfId="34" builtinId="15" customBuiltin="1"/>
    <cellStyle name="Total" xfId="35" builtinId="25" customBuiltin="1"/>
    <cellStyle name="Warning Text" xfId="3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678296</xdr:colOff>
      <xdr:row>0</xdr:row>
      <xdr:rowOff>86590</xdr:rowOff>
    </xdr:from>
    <xdr:to>
      <xdr:col>21</xdr:col>
      <xdr:colOff>865910</xdr:colOff>
      <xdr:row>7</xdr:row>
      <xdr:rowOff>28864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8E0314-A89E-4AC0-AC10-6805E1FA3613}"/>
            </a:ext>
          </a:extLst>
        </xdr:cNvPr>
        <xdr:cNvSpPr txBox="1"/>
      </xdr:nvSpPr>
      <xdr:spPr>
        <a:xfrm>
          <a:off x="10823864" y="86590"/>
          <a:ext cx="9294091" cy="174625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ysClr val="windowText" lastClr="000000"/>
              </a:solidFill>
            </a:rPr>
            <a:t>This sheet</a:t>
          </a:r>
          <a:r>
            <a:rPr lang="en-GB" sz="1200" baseline="0">
              <a:solidFill>
                <a:sysClr val="windowText" lastClr="000000"/>
              </a:solidFill>
            </a:rPr>
            <a:t> can be used to value the Timecharter-in and Cover portfolio as part of the calculation of the NAV of DS NORDEN. All costs are cash costs.</a:t>
          </a:r>
        </a:p>
        <a:p>
          <a:endParaRPr lang="en-GB" sz="1200">
            <a:solidFill>
              <a:sysClr val="windowText" lastClr="000000"/>
            </a:solidFill>
          </a:endParaRPr>
        </a:p>
        <a:p>
          <a:r>
            <a:rPr lang="en-GB" sz="1200">
              <a:solidFill>
                <a:sysClr val="windowText" lastClr="000000"/>
              </a:solidFill>
            </a:rPr>
            <a:t>Step 1: Insert your</a:t>
          </a:r>
          <a:r>
            <a:rPr lang="en-GB" sz="1200" baseline="0">
              <a:solidFill>
                <a:sysClr val="windowText" lastClr="000000"/>
              </a:solidFill>
            </a:rPr>
            <a:t> gross rate expectations for each of the 6 segments below. Input cells are colored yellow. Comissions will automatically be subtracted from the inserted rate expectations.  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2: Specify your discount rate in cell K2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3: Read the net value of the TC-in and Cover portfolio in the two output cells located in the ranges B2:G7 and B31:G36 </a:t>
          </a:r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Quarterly%20and%20Annual%20Reports/2018/AR/Data/NORDENValuationofTCfleetandcoverQ42018%20vs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of Owner"/>
      <sheetName val="Discount"/>
      <sheetName val="Sheet2"/>
    </sheetNames>
    <sheetDataSet>
      <sheetData sheetId="0">
        <row r="45">
          <cell r="L45" vm="67">
            <v>4283.9777777777781</v>
          </cell>
          <cell r="O45">
            <v>363</v>
          </cell>
        </row>
        <row r="46">
          <cell r="L46" vm="68">
            <v>4501.4569444444442</v>
          </cell>
          <cell r="O46">
            <v>362</v>
          </cell>
        </row>
        <row r="47">
          <cell r="L47" vm="69">
            <v>4359.5833333333339</v>
          </cell>
          <cell r="O47">
            <v>362</v>
          </cell>
        </row>
        <row r="48">
          <cell r="L48" vm="70">
            <v>3384.3916666666664</v>
          </cell>
          <cell r="O48">
            <v>279.00069444444443</v>
          </cell>
        </row>
        <row r="49">
          <cell r="L49" vm="71">
            <v>1996.2916666666667</v>
          </cell>
        </row>
        <row r="50">
          <cell r="L50" vm="72">
            <v>1092.0020833333333</v>
          </cell>
        </row>
        <row r="51">
          <cell r="L51" vm="73">
            <v>181.0013888888889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T62"/>
  <sheetViews>
    <sheetView showGridLines="0" tabSelected="1" topLeftCell="A14" zoomScale="80" zoomScaleNormal="80" workbookViewId="0">
      <selection activeCell="M36" sqref="M36"/>
    </sheetView>
  </sheetViews>
  <sheetFormatPr defaultRowHeight="15" x14ac:dyDescent="0.25"/>
  <cols>
    <col min="2" max="2" width="15.7109375" customWidth="1"/>
    <col min="3" max="3" width="16.85546875" customWidth="1"/>
    <col min="4" max="4" width="15.5703125" bestFit="1" customWidth="1"/>
    <col min="5" max="5" width="15.85546875" hidden="1" customWidth="1"/>
    <col min="6" max="6" width="19.28515625" customWidth="1"/>
    <col min="7" max="7" width="15" customWidth="1"/>
    <col min="8" max="8" width="9.85546875" hidden="1" customWidth="1"/>
    <col min="9" max="9" width="21.5703125" bestFit="1" customWidth="1"/>
    <col min="10" max="11" width="17.28515625" customWidth="1"/>
    <col min="12" max="12" width="17.85546875" customWidth="1"/>
    <col min="13" max="13" width="22.5703125" customWidth="1"/>
    <col min="14" max="14" width="13.42578125" hidden="1" customWidth="1"/>
    <col min="15" max="15" width="18" customWidth="1"/>
    <col min="16" max="16" width="11.7109375" bestFit="1" customWidth="1"/>
    <col min="17" max="17" width="9.85546875" hidden="1" customWidth="1"/>
    <col min="18" max="18" width="21.5703125" bestFit="1" customWidth="1"/>
    <col min="19" max="20" width="13.85546875" customWidth="1"/>
    <col min="21" max="21" width="14.5703125" customWidth="1"/>
    <col min="22" max="22" width="21.85546875" customWidth="1"/>
    <col min="23" max="23" width="14" hidden="1" customWidth="1"/>
    <col min="24" max="24" width="16.140625" customWidth="1"/>
    <col min="25" max="25" width="14.28515625" customWidth="1"/>
    <col min="26" max="26" width="9.85546875" hidden="1" customWidth="1"/>
    <col min="27" max="27" width="15.85546875" customWidth="1"/>
    <col min="43" max="43" width="27.7109375" customWidth="1"/>
    <col min="44" max="44" width="14.5703125" customWidth="1"/>
    <col min="45" max="45" width="15.85546875" customWidth="1"/>
    <col min="46" max="46" width="13.7109375" customWidth="1"/>
  </cols>
  <sheetData>
    <row r="1" spans="2:46" ht="26.25" customHeight="1" thickBot="1" x14ac:dyDescent="0.3"/>
    <row r="2" spans="2:46" ht="20.100000000000001" customHeight="1" x14ac:dyDescent="0.25">
      <c r="B2" s="62" t="s">
        <v>21</v>
      </c>
      <c r="C2" s="63" t="s">
        <v>6</v>
      </c>
      <c r="D2" s="63" t="s">
        <v>8</v>
      </c>
      <c r="E2" s="64"/>
      <c r="F2" s="63" t="s">
        <v>9</v>
      </c>
      <c r="G2" s="65" t="s">
        <v>18</v>
      </c>
      <c r="J2" s="57" t="s">
        <v>19</v>
      </c>
      <c r="K2" s="84">
        <v>0.03</v>
      </c>
    </row>
    <row r="3" spans="2:46" ht="20.100000000000001" customHeight="1" x14ac:dyDescent="0.25">
      <c r="B3" s="66" t="s">
        <v>10</v>
      </c>
      <c r="C3" s="67">
        <v>1.04</v>
      </c>
      <c r="D3" s="72" t="str">
        <f>IF(SUM(I13:I28)=0,"",SUM(E12:E28)*10^-6)</f>
        <v/>
      </c>
      <c r="E3" s="72"/>
      <c r="F3" s="72" t="str">
        <f>IF(SUM(I13:I28)=0,"",SUM(H12:H28)*10^-6)</f>
        <v/>
      </c>
      <c r="G3" s="73" t="str">
        <f>IFERROR(D3+F3,"")</f>
        <v/>
      </c>
    </row>
    <row r="4" spans="2:46" ht="20.100000000000001" customHeight="1" x14ac:dyDescent="0.25">
      <c r="B4" s="66" t="s">
        <v>11</v>
      </c>
      <c r="C4" s="67">
        <v>1.03</v>
      </c>
      <c r="D4" s="72" t="str">
        <f>IF(SUM(R13:R28)=0,"",SUM(N12:N28)*10^-6)</f>
        <v/>
      </c>
      <c r="E4" s="72"/>
      <c r="F4" s="72" t="str">
        <f>IF(SUM(R13:R28)=0,"",SUM(Q12:Q28)*10^-6)</f>
        <v/>
      </c>
      <c r="G4" s="73" t="str">
        <f>IFERROR(D4+F4,"")</f>
        <v/>
      </c>
      <c r="J4" s="85"/>
      <c r="K4" s="85"/>
    </row>
    <row r="5" spans="2:46" ht="20.100000000000001" customHeight="1" x14ac:dyDescent="0.25">
      <c r="B5" s="68" t="s">
        <v>12</v>
      </c>
      <c r="C5" s="69">
        <v>1.17</v>
      </c>
      <c r="D5" s="74" t="str">
        <f>IF(SUM(AA13:AA28)=0,"",SUM(W12:W28)*10^-6)</f>
        <v/>
      </c>
      <c r="E5" s="72"/>
      <c r="F5" s="74" t="str">
        <f>IF(SUM(AA13:AA28)=0,"",SUM(Z12:Z28)*10^-6)</f>
        <v/>
      </c>
      <c r="G5" s="75" t="str">
        <f>IFERROR(D5+F5,"")</f>
        <v/>
      </c>
    </row>
    <row r="6" spans="2:46" ht="20.100000000000001" customHeight="1" x14ac:dyDescent="0.25">
      <c r="B6" s="78" t="s">
        <v>25</v>
      </c>
      <c r="C6" s="79"/>
      <c r="D6" s="79"/>
      <c r="E6" s="80"/>
      <c r="F6" s="81"/>
      <c r="G6" s="82">
        <f>SUM(G3:G5)</f>
        <v>0</v>
      </c>
      <c r="I6" s="85"/>
      <c r="J6" s="85"/>
      <c r="K6" s="85"/>
    </row>
    <row r="7" spans="2:46" ht="20.100000000000001" customHeight="1" thickBot="1" x14ac:dyDescent="0.3">
      <c r="B7" s="58" t="s">
        <v>23</v>
      </c>
      <c r="C7" s="59"/>
      <c r="D7" s="59"/>
      <c r="E7" s="70"/>
      <c r="F7" s="71"/>
      <c r="G7" s="61">
        <f>G6*1000000/40467615</f>
        <v>0</v>
      </c>
    </row>
    <row r="8" spans="2:46" x14ac:dyDescent="0.25">
      <c r="B8" s="54"/>
      <c r="E8" s="55"/>
      <c r="F8" s="39"/>
      <c r="G8" s="56"/>
    </row>
    <row r="9" spans="2:46" x14ac:dyDescent="0.25">
      <c r="B9" s="1" t="s">
        <v>10</v>
      </c>
      <c r="D9" s="1"/>
      <c r="E9" s="1"/>
      <c r="F9" s="1"/>
      <c r="G9" s="1"/>
      <c r="H9" s="1"/>
      <c r="I9" s="1"/>
      <c r="K9" s="1" t="s">
        <v>11</v>
      </c>
      <c r="M9" s="1"/>
      <c r="N9" s="1"/>
      <c r="O9" s="1"/>
      <c r="P9" s="1"/>
      <c r="Q9" s="1"/>
      <c r="R9" s="1"/>
      <c r="T9" s="1" t="s">
        <v>16</v>
      </c>
      <c r="V9" s="1"/>
      <c r="W9" s="1"/>
      <c r="X9" s="1"/>
      <c r="Y9" s="1"/>
      <c r="Z9" s="1"/>
      <c r="AA9" s="1"/>
    </row>
    <row r="10" spans="2:46" x14ac:dyDescent="0.25">
      <c r="B10" s="48"/>
      <c r="C10" s="49" t="s">
        <v>4</v>
      </c>
      <c r="D10" s="49" t="s">
        <v>26</v>
      </c>
      <c r="E10" s="49"/>
      <c r="F10" s="49" t="s">
        <v>5</v>
      </c>
      <c r="G10" s="49" t="s">
        <v>1</v>
      </c>
      <c r="H10" s="49"/>
      <c r="I10" s="50" t="s">
        <v>22</v>
      </c>
      <c r="K10" s="48"/>
      <c r="L10" s="49" t="s">
        <v>4</v>
      </c>
      <c r="M10" s="49" t="s">
        <v>26</v>
      </c>
      <c r="N10" s="49"/>
      <c r="O10" s="49" t="s">
        <v>5</v>
      </c>
      <c r="P10" s="49" t="s">
        <v>1</v>
      </c>
      <c r="Q10" s="49"/>
      <c r="R10" s="50" t="s">
        <v>22</v>
      </c>
      <c r="T10" s="48"/>
      <c r="U10" s="49" t="s">
        <v>4</v>
      </c>
      <c r="V10" s="49" t="s">
        <v>26</v>
      </c>
      <c r="W10" s="49"/>
      <c r="X10" s="49" t="s">
        <v>5</v>
      </c>
      <c r="Y10" s="49" t="s">
        <v>1</v>
      </c>
      <c r="Z10" s="49"/>
      <c r="AA10" s="50" t="s">
        <v>22</v>
      </c>
    </row>
    <row r="11" spans="2:46" x14ac:dyDescent="0.25">
      <c r="B11" s="51" t="s">
        <v>20</v>
      </c>
      <c r="C11" s="52" t="s">
        <v>2</v>
      </c>
      <c r="D11" s="52" t="s">
        <v>3</v>
      </c>
      <c r="E11" s="52"/>
      <c r="F11" s="52" t="s">
        <v>2</v>
      </c>
      <c r="G11" s="52" t="s">
        <v>3</v>
      </c>
      <c r="H11" s="52"/>
      <c r="I11" s="53" t="s">
        <v>3</v>
      </c>
      <c r="K11" s="51" t="s">
        <v>20</v>
      </c>
      <c r="L11" s="52" t="s">
        <v>2</v>
      </c>
      <c r="M11" s="52" t="s">
        <v>3</v>
      </c>
      <c r="N11" s="52"/>
      <c r="O11" s="52" t="s">
        <v>2</v>
      </c>
      <c r="P11" s="52" t="s">
        <v>3</v>
      </c>
      <c r="Q11" s="52"/>
      <c r="R11" s="53" t="s">
        <v>3</v>
      </c>
      <c r="T11" s="51" t="s">
        <v>20</v>
      </c>
      <c r="U11" s="52" t="s">
        <v>2</v>
      </c>
      <c r="V11" s="52" t="s">
        <v>3</v>
      </c>
      <c r="W11" s="52"/>
      <c r="X11" s="52" t="s">
        <v>2</v>
      </c>
      <c r="Y11" s="52" t="s">
        <v>3</v>
      </c>
      <c r="Z11" s="52"/>
      <c r="AA11" s="53" t="s">
        <v>3</v>
      </c>
      <c r="AQ11" s="87"/>
      <c r="AR11" s="88"/>
      <c r="AS11" s="88"/>
      <c r="AT11" s="88"/>
    </row>
    <row r="12" spans="2:46" hidden="1" x14ac:dyDescent="0.25">
      <c r="B12" s="76" t="s">
        <v>28</v>
      </c>
      <c r="C12" s="42"/>
      <c r="D12" s="43"/>
      <c r="E12" s="43"/>
      <c r="F12" s="43"/>
      <c r="G12" s="44"/>
      <c r="H12" s="45"/>
      <c r="I12" s="77"/>
      <c r="K12" s="76" t="s">
        <v>28</v>
      </c>
      <c r="L12" s="42"/>
      <c r="M12" s="43"/>
      <c r="N12" s="43"/>
      <c r="O12" s="43"/>
      <c r="P12" s="44"/>
      <c r="Q12" s="44"/>
      <c r="R12" s="77"/>
      <c r="T12" s="76" t="s">
        <v>28</v>
      </c>
      <c r="U12" s="42"/>
      <c r="V12" s="42"/>
      <c r="W12" s="43"/>
      <c r="X12" s="43"/>
      <c r="Y12" s="44"/>
      <c r="Z12" s="44"/>
      <c r="AA12" s="77"/>
      <c r="AF12" s="85"/>
      <c r="AG12" s="85"/>
      <c r="AQ12" s="88"/>
      <c r="AR12" s="85"/>
      <c r="AS12" s="85"/>
      <c r="AT12" s="85"/>
    </row>
    <row r="13" spans="2:46" hidden="1" x14ac:dyDescent="0.25">
      <c r="B13" s="76" t="s">
        <v>27</v>
      </c>
      <c r="C13" s="42"/>
      <c r="D13" s="42"/>
      <c r="E13" s="43"/>
      <c r="F13" s="42"/>
      <c r="G13" s="46"/>
      <c r="H13" s="45"/>
      <c r="I13" s="77"/>
      <c r="K13" s="76" t="s">
        <v>27</v>
      </c>
      <c r="L13" s="42"/>
      <c r="M13" s="42"/>
      <c r="N13" s="43"/>
      <c r="O13" s="42"/>
      <c r="P13" s="42"/>
      <c r="Q13" s="44"/>
      <c r="R13" s="77"/>
      <c r="T13" s="76" t="s">
        <v>27</v>
      </c>
      <c r="U13" s="42"/>
      <c r="V13" s="42"/>
      <c r="W13" s="43"/>
      <c r="X13" s="42"/>
      <c r="Y13" s="42"/>
      <c r="Z13" s="44"/>
      <c r="AA13" s="77"/>
      <c r="AF13" s="85"/>
      <c r="AG13" s="85"/>
      <c r="AQ13" s="88"/>
      <c r="AR13" s="85"/>
      <c r="AS13" s="85"/>
      <c r="AT13" s="85"/>
    </row>
    <row r="14" spans="2:46" x14ac:dyDescent="0.25">
      <c r="B14" s="76" t="s">
        <v>29</v>
      </c>
      <c r="C14" s="42">
        <v>1310.4999055555556</v>
      </c>
      <c r="D14" s="42">
        <v>13384.439065380779</v>
      </c>
      <c r="E14" s="43">
        <f>($C$3*(0.9625)*I14*C14-C14*D14)*Discount!C3</f>
        <v>-17411166.261202224</v>
      </c>
      <c r="F14" s="42">
        <v>1647.2946396989244</v>
      </c>
      <c r="G14" s="46">
        <v>13238.171247685867</v>
      </c>
      <c r="H14" s="45">
        <f>(F14*G14-F14*I14)*Discount!C3</f>
        <v>21646614.045608193</v>
      </c>
      <c r="I14" s="77"/>
      <c r="K14" s="76" t="s">
        <v>29</v>
      </c>
      <c r="L14" s="42">
        <v>1355.0000055555556</v>
      </c>
      <c r="M14" s="42">
        <v>12016.061388590713</v>
      </c>
      <c r="N14" s="43">
        <f>($C$5*(0.95)*R14*L14-L14*M14)*Discount!C3</f>
        <v>-16161889.354887336</v>
      </c>
      <c r="O14" s="42">
        <v>1855.3341451612905</v>
      </c>
      <c r="P14" s="42">
        <v>11911.46639782304</v>
      </c>
      <c r="Q14" s="44">
        <f>(O14*P14-O14*R14)*Discount!C3</f>
        <v>21937041.713839777</v>
      </c>
      <c r="R14" s="77"/>
      <c r="T14" s="76" t="s">
        <v>29</v>
      </c>
      <c r="U14" s="42">
        <v>544.63226917562724</v>
      </c>
      <c r="V14" s="42">
        <v>9513.4886163758365</v>
      </c>
      <c r="W14" s="43">
        <f>($C$5*(0.95)*AA14*U14-U14*V14)*Discount!C3</f>
        <v>-5143205.3695199192</v>
      </c>
      <c r="X14" s="42">
        <v>665.82115806451611</v>
      </c>
      <c r="Y14" s="42">
        <v>11168.631595975097</v>
      </c>
      <c r="Z14" s="44">
        <f>(X14*Y14-X14*AA14)*Discount!C3</f>
        <v>7381561.6506335745</v>
      </c>
      <c r="AA14" s="77"/>
      <c r="AF14" s="85"/>
      <c r="AG14" s="85"/>
      <c r="AQ14" s="88"/>
      <c r="AR14" s="85"/>
      <c r="AS14" s="85"/>
      <c r="AT14" s="85"/>
    </row>
    <row r="15" spans="2:46" x14ac:dyDescent="0.25">
      <c r="B15" s="76" t="s">
        <v>30</v>
      </c>
      <c r="C15" s="42">
        <v>1486.0000333333332</v>
      </c>
      <c r="D15" s="42">
        <v>13011.754769874835</v>
      </c>
      <c r="E15" s="43">
        <f>($C$3*(0.9625)*I15*C15-C15*D15)*Discount!C4</f>
        <v>-19051802.748848729</v>
      </c>
      <c r="F15" s="42">
        <v>1433.9067009999999</v>
      </c>
      <c r="G15" s="46">
        <v>13087.786042951579</v>
      </c>
      <c r="H15" s="45">
        <f>(F15*G15-F15*I15)*Discount!C4</f>
        <v>18491343.599326372</v>
      </c>
      <c r="I15" s="77"/>
      <c r="K15" s="76" t="s">
        <v>30</v>
      </c>
      <c r="L15" s="42">
        <v>1616.4332722222225</v>
      </c>
      <c r="M15" s="42">
        <v>11941.248192339608</v>
      </c>
      <c r="N15" s="43">
        <f>($C$5*(0.95)*R15*L15-L15*M15)*Discount!C4</f>
        <v>-19019053.229766004</v>
      </c>
      <c r="O15" s="42">
        <v>1610.3965000000001</v>
      </c>
      <c r="P15" s="42">
        <v>11889.777032040291</v>
      </c>
      <c r="Q15" s="44">
        <f>(O15*P15-O15*R15)*Discount!C4</f>
        <v>18866351.261487823</v>
      </c>
      <c r="R15" s="77"/>
      <c r="T15" s="76" t="s">
        <v>30</v>
      </c>
      <c r="U15" s="42">
        <v>574.90000000000009</v>
      </c>
      <c r="V15" s="42">
        <v>9534.5119977729319</v>
      </c>
      <c r="W15" s="43">
        <f>($C$5*(0.95)*AA15*U15-U15*V15)*Discount!C4</f>
        <v>-5400974.9856558368</v>
      </c>
      <c r="X15" s="42">
        <v>659.90000000000009</v>
      </c>
      <c r="Y15" s="42">
        <v>11196.769377538758</v>
      </c>
      <c r="Z15" s="44">
        <f>(X15*Y15-X15*AA15)*Discount!C4</f>
        <v>7280349.8439690815</v>
      </c>
      <c r="AA15" s="77"/>
      <c r="AF15" s="85"/>
      <c r="AG15" s="85"/>
      <c r="AQ15" s="88"/>
      <c r="AR15" s="85"/>
      <c r="AS15" s="85"/>
      <c r="AT15" s="85"/>
    </row>
    <row r="16" spans="2:46" x14ac:dyDescent="0.25">
      <c r="B16" s="76" t="s">
        <v>31</v>
      </c>
      <c r="C16" s="42">
        <v>1472</v>
      </c>
      <c r="D16" s="42">
        <v>12976.923642184282</v>
      </c>
      <c r="E16" s="43">
        <f>($C$3*(0.9625)*I16*C16-C16*D16)*Discount!C5</f>
        <v>-18683216.253186982</v>
      </c>
      <c r="F16" s="42">
        <v>1379.9900009999999</v>
      </c>
      <c r="G16" s="46">
        <v>13028.551912597259</v>
      </c>
      <c r="H16" s="45">
        <f>(F16*G16-F16*I16)*Discount!C5</f>
        <v>17585072.731197312</v>
      </c>
      <c r="I16" s="77"/>
      <c r="K16" s="76" t="s">
        <v>31</v>
      </c>
      <c r="L16" s="42">
        <v>1656.0000277777776</v>
      </c>
      <c r="M16" s="42">
        <v>12139.476133809569</v>
      </c>
      <c r="N16" s="43">
        <f>($C$5*(0.95)*R16*L16-L16*M16)*Discount!C5</f>
        <v>-19662211.657387838</v>
      </c>
      <c r="O16" s="42">
        <v>1400.7006999999999</v>
      </c>
      <c r="P16" s="42">
        <v>11892.082229992295</v>
      </c>
      <c r="Q16" s="44">
        <f>(O16*P16-O16*R16)*Discount!C5</f>
        <v>16292034.861486683</v>
      </c>
      <c r="R16" s="77"/>
      <c r="T16" s="76" t="s">
        <v>31</v>
      </c>
      <c r="U16" s="42">
        <v>527.19166666666661</v>
      </c>
      <c r="V16" s="42">
        <v>9523.8870213678256</v>
      </c>
      <c r="W16" s="43">
        <f>($C$5*(0.95)*AA16*U16-U16*V16)*Discount!C5</f>
        <v>-4910829.4665222652</v>
      </c>
      <c r="X16" s="42">
        <v>578.90000000000009</v>
      </c>
      <c r="Y16" s="42">
        <v>11341.867584695805</v>
      </c>
      <c r="Z16" s="44">
        <f>(X16*Y16-X16*AA16)*Discount!C5</f>
        <v>6421850.6870407667</v>
      </c>
      <c r="AA16" s="77"/>
      <c r="AF16" s="85"/>
      <c r="AG16" s="85"/>
      <c r="AQ16" s="88"/>
      <c r="AR16" s="85"/>
      <c r="AS16" s="85"/>
      <c r="AT16" s="85"/>
    </row>
    <row r="17" spans="2:46" x14ac:dyDescent="0.25">
      <c r="B17" s="76" t="s">
        <v>32</v>
      </c>
      <c r="C17" s="42">
        <v>1471.9999666666668</v>
      </c>
      <c r="D17" s="42">
        <v>12974.228555983758</v>
      </c>
      <c r="E17" s="43">
        <f>($C$3*(0.9625)*I17*C17-C17*D17)*Discount!C6</f>
        <v>-18541809.710615348</v>
      </c>
      <c r="F17" s="42">
        <v>1216.6948676666666</v>
      </c>
      <c r="G17" s="46">
        <v>12833.014309813643</v>
      </c>
      <c r="H17" s="45">
        <f>(F17*G17-F17*I17)*Discount!C6</f>
        <v>15159089.948973931</v>
      </c>
      <c r="I17" s="77"/>
      <c r="K17" s="76" t="s">
        <v>32</v>
      </c>
      <c r="L17" s="42">
        <v>1641.2777777777778</v>
      </c>
      <c r="M17" s="42">
        <v>12166.485297457297</v>
      </c>
      <c r="N17" s="43">
        <f>($C$5*(0.95)*R17*L17-L17*M17)*Discount!C6</f>
        <v>-19386972.769297786</v>
      </c>
      <c r="O17" s="42">
        <v>1236.7882</v>
      </c>
      <c r="P17" s="42">
        <v>11820.60461049442</v>
      </c>
      <c r="Q17" s="44">
        <f>(O17*P17-O17*R17)*Discount!C6</f>
        <v>14193771.164199121</v>
      </c>
      <c r="R17" s="77"/>
      <c r="T17" s="76" t="s">
        <v>32</v>
      </c>
      <c r="U17" s="42">
        <v>486.90000000000003</v>
      </c>
      <c r="V17" s="42">
        <v>9517.2782464365137</v>
      </c>
      <c r="W17" s="43">
        <f>($C$5*(0.95)*AA17*U17-U17*V17)*Discount!C6</f>
        <v>-4498992.9885339206</v>
      </c>
      <c r="X17" s="42">
        <v>578.90000000000009</v>
      </c>
      <c r="Y17" s="42">
        <v>11341.867584695805</v>
      </c>
      <c r="Z17" s="44">
        <f>(X17*Y17-X17*AA17)*Discount!C6</f>
        <v>6374570.0434761187</v>
      </c>
      <c r="AA17" s="77"/>
      <c r="AF17" s="85"/>
      <c r="AG17" s="85"/>
      <c r="AQ17" s="88"/>
      <c r="AR17" s="85"/>
      <c r="AS17" s="85"/>
      <c r="AT17" s="85"/>
    </row>
    <row r="18" spans="2:46" x14ac:dyDescent="0.25">
      <c r="B18" s="47">
        <v>2021</v>
      </c>
      <c r="C18" s="42">
        <v>4982.5576388888885</v>
      </c>
      <c r="D18" s="42">
        <v>12888.379196872611</v>
      </c>
      <c r="E18" s="43">
        <f>($C$3*(0.9625)*I18*C18-C18*D18)*Discount!C7</f>
        <v>-60530768.423295565</v>
      </c>
      <c r="F18" s="42">
        <v>3287.8141706666675</v>
      </c>
      <c r="G18" s="46">
        <v>12888.086779893521</v>
      </c>
      <c r="H18" s="45">
        <f>(F18*G18-F18*I18)*Discount!C7</f>
        <v>39941214.391286321</v>
      </c>
      <c r="I18" s="77"/>
      <c r="K18" s="47">
        <v>2021</v>
      </c>
      <c r="L18" s="42">
        <v>6205.0000111111112</v>
      </c>
      <c r="M18" s="42">
        <v>12219.071477239388</v>
      </c>
      <c r="N18" s="43">
        <f>($C$5*(0.95)*R18*L18-L18*M18)*Discount!C7</f>
        <v>-71466998.44663763</v>
      </c>
      <c r="O18" s="42">
        <v>4022.0625000000009</v>
      </c>
      <c r="P18" s="42">
        <v>11148.677784275336</v>
      </c>
      <c r="Q18" s="44">
        <f>(O18*P18-O18*R18)*Discount!C7</f>
        <v>42266640.438040271</v>
      </c>
      <c r="R18" s="77"/>
      <c r="T18" s="47">
        <v>2021</v>
      </c>
      <c r="U18" s="42">
        <v>1679.7249999999997</v>
      </c>
      <c r="V18" s="42">
        <v>9518.0922220208704</v>
      </c>
      <c r="W18" s="43">
        <f>($C$5*(0.95)*AA18*U18-U18*V18)*Discount!C7</f>
        <v>-15070013.627706667</v>
      </c>
      <c r="X18" s="42">
        <v>2303.6</v>
      </c>
      <c r="Y18" s="42">
        <v>11336.285276754184</v>
      </c>
      <c r="Z18" s="44">
        <f>(X18*Y18-X18*AA18)*Discount!C7</f>
        <v>24615201.021331832</v>
      </c>
      <c r="AA18" s="77"/>
      <c r="AF18" s="85"/>
      <c r="AG18" s="85"/>
      <c r="AQ18" s="88"/>
      <c r="AR18" s="85"/>
      <c r="AS18" s="85"/>
      <c r="AT18" s="85"/>
    </row>
    <row r="19" spans="2:46" x14ac:dyDescent="0.25">
      <c r="B19" s="47">
        <f t="shared" ref="B19:B28" si="0">B18+1</f>
        <v>2022</v>
      </c>
      <c r="C19" s="42">
        <v>3292.7569333333336</v>
      </c>
      <c r="D19" s="42">
        <v>12691.025115270902</v>
      </c>
      <c r="E19" s="43">
        <f>($C$3*(0.9625)*I19*C19-C19*D19)*Discount!C8</f>
        <v>-38242361.485911608</v>
      </c>
      <c r="F19" s="42">
        <v>2699.1336039999992</v>
      </c>
      <c r="G19" s="46">
        <v>13162.881081896647</v>
      </c>
      <c r="H19" s="45">
        <f>(F19*G19-F19*I19)*Discount!C8</f>
        <v>32513495.734619085</v>
      </c>
      <c r="I19" s="77"/>
      <c r="K19" s="47">
        <f t="shared" ref="K19:K28" si="1">K18+1</f>
        <v>2022</v>
      </c>
      <c r="L19" s="42">
        <v>5410.8402999999998</v>
      </c>
      <c r="M19" s="42">
        <v>12024.755210585501</v>
      </c>
      <c r="N19" s="43">
        <f>($C$5*(0.95)*R19*L19-L19*M19)*Discount!C8</f>
        <v>-59542804.461746641</v>
      </c>
      <c r="O19" s="42">
        <v>2436.7999600000003</v>
      </c>
      <c r="P19" s="42">
        <v>11709.695612476467</v>
      </c>
      <c r="Q19" s="44">
        <f>(O19*P19-O19*R19)*Discount!C8</f>
        <v>26112822.141390152</v>
      </c>
      <c r="R19" s="77"/>
      <c r="T19" s="47">
        <f t="shared" ref="T19:T28" si="2">T18+1</f>
        <v>2022</v>
      </c>
      <c r="U19" s="42">
        <v>568.97919999999999</v>
      </c>
      <c r="V19" s="42">
        <v>10169.498149893781</v>
      </c>
      <c r="W19" s="43">
        <f>($C$5*(0.95)*AA19*U19-U19*V19)*Discount!C8</f>
        <v>-5295222.7973940829</v>
      </c>
      <c r="X19" s="42">
        <v>1662.6826999999996</v>
      </c>
      <c r="Y19" s="42">
        <v>11197.589541779545</v>
      </c>
      <c r="Z19" s="44">
        <f>(X19*Y19-X19*AA19)*Discount!C8</f>
        <v>17038142.567006923</v>
      </c>
      <c r="AA19" s="77"/>
      <c r="AF19" s="85"/>
      <c r="AG19" s="85"/>
      <c r="AQ19" s="88"/>
      <c r="AR19" s="85"/>
      <c r="AS19" s="85"/>
      <c r="AT19" s="85"/>
    </row>
    <row r="20" spans="2:46" x14ac:dyDescent="0.25">
      <c r="B20" s="47">
        <f t="shared" si="0"/>
        <v>2023</v>
      </c>
      <c r="C20" s="42">
        <v>2261.3368</v>
      </c>
      <c r="D20" s="42">
        <v>12166.98368925839</v>
      </c>
      <c r="E20" s="43">
        <f>($C$3*(0.9625)*I20*C20-C20*D20)*Discount!C9</f>
        <v>-24445519.854722209</v>
      </c>
      <c r="F20" s="42">
        <v>1480.3368</v>
      </c>
      <c r="G20" s="46">
        <v>14015.328851580158</v>
      </c>
      <c r="H20" s="45">
        <f>(F20*G20-F20*I20)*Discount!C9</f>
        <v>18433802.453395143</v>
      </c>
      <c r="I20" s="77"/>
      <c r="K20" s="47">
        <f t="shared" si="1"/>
        <v>2023</v>
      </c>
      <c r="L20" s="42">
        <v>4466.3527333333332</v>
      </c>
      <c r="M20" s="42">
        <v>11101.752508663194</v>
      </c>
      <c r="N20" s="43">
        <f>($C$5*(0.95)*R20*L20-L20*M20)*Discount!C9</f>
        <v>-44055046.234474212</v>
      </c>
      <c r="O20" s="42">
        <v>1977.8399999999995</v>
      </c>
      <c r="P20" s="42">
        <v>10962.060429559526</v>
      </c>
      <c r="Q20" s="44">
        <f>(O20*P20-O20*R20)*Discount!C9</f>
        <v>19263466.804848917</v>
      </c>
      <c r="R20" s="77"/>
      <c r="T20" s="47">
        <f t="shared" si="2"/>
        <v>2023</v>
      </c>
      <c r="U20" s="42">
        <v>0</v>
      </c>
      <c r="V20" s="42">
        <v>0</v>
      </c>
      <c r="W20" s="43">
        <f>($C$5*(0.95)*AA20*U20-U20*V20)*Discount!C9</f>
        <v>0</v>
      </c>
      <c r="X20" s="42">
        <v>1018.7249999999997</v>
      </c>
      <c r="Y20" s="42">
        <v>10345.662120788835</v>
      </c>
      <c r="Z20" s="44">
        <f>(X20*Y20-X20*AA20)*Discount!C9</f>
        <v>9364106.7491960414</v>
      </c>
      <c r="AA20" s="77"/>
      <c r="AQ20" s="88"/>
      <c r="AR20" s="85"/>
      <c r="AS20" s="85"/>
      <c r="AT20" s="85"/>
    </row>
    <row r="21" spans="2:46" x14ac:dyDescent="0.25">
      <c r="B21" s="47">
        <f t="shared" si="0"/>
        <v>2024</v>
      </c>
      <c r="C21" s="42">
        <v>1027.5291999999999</v>
      </c>
      <c r="D21" s="42">
        <v>11309.761115597834</v>
      </c>
      <c r="E21" s="43">
        <f>($C$3*(0.9625)*I21*C21-C21*D21)*Discount!C10</f>
        <v>-10024471.390269363</v>
      </c>
      <c r="F21" s="42">
        <v>1074</v>
      </c>
      <c r="G21" s="46">
        <v>14208.213128491618</v>
      </c>
      <c r="H21" s="45">
        <f>(F21*G21-F21*I21)*Discount!C10</f>
        <v>13163083.03471218</v>
      </c>
      <c r="I21" s="77"/>
      <c r="K21" s="47">
        <f t="shared" si="1"/>
        <v>2024</v>
      </c>
      <c r="L21" s="42">
        <v>2530.4229166666664</v>
      </c>
      <c r="M21" s="42">
        <v>11321.942231329909</v>
      </c>
      <c r="N21" s="43">
        <f>($C$5*(0.95)*R21*L21-L21*M21)*Discount!C10</f>
        <v>-24713139.643558867</v>
      </c>
      <c r="O21" s="42">
        <v>1977.8399999999995</v>
      </c>
      <c r="P21" s="42">
        <v>10962.060429559526</v>
      </c>
      <c r="Q21" s="44">
        <f>(O21*P21-O21*R21)*Discount!C10</f>
        <v>18702394.956163999</v>
      </c>
      <c r="R21" s="77"/>
      <c r="T21" s="47">
        <f t="shared" si="2"/>
        <v>2024</v>
      </c>
      <c r="U21" s="42">
        <v>0</v>
      </c>
      <c r="V21" s="42">
        <v>0</v>
      </c>
      <c r="W21" s="43">
        <f>($C$5*(0.95)*AA21*U21-U21*V21)*Discount!C10</f>
        <v>0</v>
      </c>
      <c r="X21" s="42">
        <v>843.5999999999998</v>
      </c>
      <c r="Y21" s="42">
        <v>9472</v>
      </c>
      <c r="Z21" s="44">
        <f>(X21*Y21-X21*AA21)*Discount!C10</f>
        <v>6892743.8102373853</v>
      </c>
      <c r="AA21" s="77"/>
      <c r="AQ21" s="88"/>
      <c r="AR21" s="85"/>
      <c r="AS21" s="85"/>
      <c r="AT21" s="85"/>
    </row>
    <row r="22" spans="2:46" x14ac:dyDescent="0.25">
      <c r="B22" s="47">
        <f t="shared" si="0"/>
        <v>2025</v>
      </c>
      <c r="C22" s="42">
        <v>90</v>
      </c>
      <c r="D22" s="42">
        <v>11500</v>
      </c>
      <c r="E22" s="43">
        <f>($C$3*(0.9625)*I22*C22-C22*D22)*Discount!C11</f>
        <v>-866796.20566758234</v>
      </c>
      <c r="F22" s="42">
        <v>1074</v>
      </c>
      <c r="G22" s="46">
        <v>14208.213128491618</v>
      </c>
      <c r="H22" s="45">
        <f>(F22*G22-F22*I22)*Discount!C11</f>
        <v>12779692.266710855</v>
      </c>
      <c r="I22" s="77"/>
      <c r="K22" s="47">
        <f t="shared" si="1"/>
        <v>2025</v>
      </c>
      <c r="L22" s="42">
        <v>192.10416666666666</v>
      </c>
      <c r="M22" s="42">
        <v>11458.925279253877</v>
      </c>
      <c r="N22" s="43">
        <f>($C$5*(0.95)*R22*L22-L22*M22)*Discount!C11</f>
        <v>-1843560.2008937667</v>
      </c>
      <c r="O22" s="42">
        <v>1404.84</v>
      </c>
      <c r="P22" s="42">
        <v>11456.430340821733</v>
      </c>
      <c r="Q22" s="44">
        <f>(O22*P22-O22*R22)*Discount!C11</f>
        <v>13478849.834957054</v>
      </c>
      <c r="R22" s="77"/>
      <c r="T22" s="47">
        <f t="shared" si="2"/>
        <v>2025</v>
      </c>
      <c r="U22" s="42">
        <v>0</v>
      </c>
      <c r="V22" s="42">
        <v>0</v>
      </c>
      <c r="W22" s="43">
        <f>($C$5*(0.95)*AA22*U22-U22*V22)*Discount!C11</f>
        <v>0</v>
      </c>
      <c r="X22" s="42">
        <v>843.5999999999998</v>
      </c>
      <c r="Y22" s="42">
        <v>9472</v>
      </c>
      <c r="Z22" s="44">
        <f>(X22*Y22-X22*AA22)*Discount!C11</f>
        <v>6691984.2817838686</v>
      </c>
      <c r="AA22" s="77"/>
      <c r="AQ22" s="88"/>
      <c r="AR22" s="85"/>
      <c r="AS22" s="85"/>
      <c r="AT22" s="85"/>
    </row>
    <row r="23" spans="2:46" x14ac:dyDescent="0.25">
      <c r="B23" s="47">
        <f t="shared" si="0"/>
        <v>2026</v>
      </c>
      <c r="C23" s="42">
        <v>0</v>
      </c>
      <c r="D23" s="42">
        <v>0</v>
      </c>
      <c r="E23" s="43">
        <f>($C$3*(0.9625)*I23*C23-C23*D23)*Discount!C12</f>
        <v>0</v>
      </c>
      <c r="F23" s="42">
        <v>960</v>
      </c>
      <c r="G23" s="42">
        <v>11989.869687499999</v>
      </c>
      <c r="H23" s="45">
        <f>(F23*G23-F23*I23)*Discount!C12</f>
        <v>9358906.8144184686</v>
      </c>
      <c r="I23" s="77"/>
      <c r="K23" s="47">
        <f t="shared" si="1"/>
        <v>2026</v>
      </c>
      <c r="L23" s="42">
        <v>0</v>
      </c>
      <c r="M23" s="42">
        <v>0</v>
      </c>
      <c r="N23" s="43">
        <f>($C$5*(0.95)*R23*L23-L23*M23)*Discount!C12</f>
        <v>0</v>
      </c>
      <c r="O23" s="42">
        <v>1319.7999600000001</v>
      </c>
      <c r="P23" s="42">
        <v>11566.382537244508</v>
      </c>
      <c r="Q23" s="44">
        <f>(O23*P23-O23*R23)*Discount!C12</f>
        <v>12412094.962865541</v>
      </c>
      <c r="R23" s="77"/>
      <c r="T23" s="47">
        <f t="shared" si="2"/>
        <v>2026</v>
      </c>
      <c r="U23" s="42">
        <v>0</v>
      </c>
      <c r="V23" s="42">
        <v>0</v>
      </c>
      <c r="W23" s="43">
        <f>($C$5*(0.95)*AA23*U23-U23*V23)*Discount!C12</f>
        <v>0</v>
      </c>
      <c r="X23" s="42">
        <v>0</v>
      </c>
      <c r="Y23" s="42">
        <v>0</v>
      </c>
      <c r="Z23" s="44">
        <f>(X23*Y23-X23*AA23)*Discount!C12</f>
        <v>0</v>
      </c>
      <c r="AA23" s="77"/>
      <c r="AQ23" s="88"/>
      <c r="AR23" s="85"/>
      <c r="AS23" s="85"/>
      <c r="AT23" s="85"/>
    </row>
    <row r="24" spans="2:46" x14ac:dyDescent="0.25">
      <c r="B24" s="47">
        <f t="shared" si="0"/>
        <v>2027</v>
      </c>
      <c r="C24" s="42">
        <v>0</v>
      </c>
      <c r="D24" s="42">
        <v>0</v>
      </c>
      <c r="E24" s="43">
        <f>($C$3*(0.9625)*I24*C24-C24*D24)*Discount!C13</f>
        <v>0</v>
      </c>
      <c r="F24" s="42">
        <v>390</v>
      </c>
      <c r="G24" s="42">
        <v>11688.310000000003</v>
      </c>
      <c r="H24" s="45">
        <f>(F24*G24-F24*I24)*Discount!C13</f>
        <v>3598475.3405343289</v>
      </c>
      <c r="I24" s="77"/>
      <c r="K24" s="47">
        <f t="shared" si="1"/>
        <v>2027</v>
      </c>
      <c r="L24" s="42">
        <v>0</v>
      </c>
      <c r="M24" s="42">
        <v>0</v>
      </c>
      <c r="N24" s="43">
        <f>($C$5*(0.95)*R24*L24-L24*M24)*Discount!C13</f>
        <v>0</v>
      </c>
      <c r="O24" s="42">
        <v>837.00000000000023</v>
      </c>
      <c r="P24" s="42">
        <v>11757.427956989242</v>
      </c>
      <c r="Q24" s="44">
        <f>(O24*P24-O24*R24)*Discount!C13</f>
        <v>7768550.3822605554</v>
      </c>
      <c r="R24" s="77"/>
      <c r="T24" s="47">
        <f t="shared" si="2"/>
        <v>2027</v>
      </c>
      <c r="U24" s="42">
        <v>0</v>
      </c>
      <c r="V24" s="42">
        <v>0</v>
      </c>
      <c r="W24" s="43">
        <f>($C$5*(0.95)*AA24*U24-U24*V24)*Discount!C13</f>
        <v>0</v>
      </c>
      <c r="X24" s="42">
        <v>0</v>
      </c>
      <c r="Y24" s="42">
        <v>0</v>
      </c>
      <c r="Z24" s="44">
        <f>(X24*Y24-X24*AA24)*Discount!C13</f>
        <v>0</v>
      </c>
      <c r="AA24" s="77"/>
      <c r="AQ24" s="88"/>
      <c r="AR24" s="85"/>
      <c r="AS24" s="85"/>
      <c r="AT24" s="85"/>
    </row>
    <row r="25" spans="2:46" x14ac:dyDescent="0.25">
      <c r="B25" s="47">
        <f t="shared" si="0"/>
        <v>2028</v>
      </c>
      <c r="C25" s="42">
        <v>0</v>
      </c>
      <c r="D25" s="42">
        <v>0</v>
      </c>
      <c r="E25" s="43">
        <f>($C$3*(0.9625)*I25*C25-C25*D25)*Discount!C14</f>
        <v>0</v>
      </c>
      <c r="F25" s="42">
        <v>390</v>
      </c>
      <c r="G25" s="42">
        <v>11688.310000000003</v>
      </c>
      <c r="H25" s="45">
        <f>(F25*G25-F25*I25)*Discount!C14</f>
        <v>3493665.3791595427</v>
      </c>
      <c r="I25" s="77"/>
      <c r="K25" s="47">
        <f t="shared" si="1"/>
        <v>2028</v>
      </c>
      <c r="L25" s="42">
        <v>0</v>
      </c>
      <c r="M25" s="42">
        <v>0</v>
      </c>
      <c r="N25" s="43">
        <f>($C$5*(0.95)*R25*L25-L25*M25)*Discount!C14</f>
        <v>0</v>
      </c>
      <c r="O25" s="42">
        <v>704.40000000000009</v>
      </c>
      <c r="P25" s="42">
        <v>11796</v>
      </c>
      <c r="Q25" s="44">
        <f>(O25*P25-O25*R25)*Discount!C14</f>
        <v>6368235.1101165889</v>
      </c>
      <c r="R25" s="77"/>
      <c r="T25" s="47">
        <f t="shared" si="2"/>
        <v>2028</v>
      </c>
      <c r="U25" s="42">
        <v>0</v>
      </c>
      <c r="V25" s="42">
        <v>0</v>
      </c>
      <c r="W25" s="43">
        <f>($C$5*(0.95)*AA25*U25-U25*V25)*Discount!C14</f>
        <v>0</v>
      </c>
      <c r="X25" s="42">
        <v>0</v>
      </c>
      <c r="Y25" s="42">
        <v>0</v>
      </c>
      <c r="Z25" s="44">
        <f>(X25*Y25-X25*AA25)*Discount!C14</f>
        <v>0</v>
      </c>
      <c r="AA25" s="77"/>
      <c r="AQ25" s="88"/>
      <c r="AR25" s="85"/>
      <c r="AS25" s="85"/>
      <c r="AT25" s="85"/>
    </row>
    <row r="26" spans="2:46" x14ac:dyDescent="0.25">
      <c r="B26" s="47">
        <f t="shared" si="0"/>
        <v>2029</v>
      </c>
      <c r="C26" s="42">
        <v>0</v>
      </c>
      <c r="D26" s="42">
        <v>0</v>
      </c>
      <c r="E26" s="43">
        <f>($C$3*(0.9625)*I26*C26-C26*D26)*Discount!C15</f>
        <v>0</v>
      </c>
      <c r="F26" s="42">
        <v>97.5</v>
      </c>
      <c r="G26" s="42">
        <v>11688.310000000001</v>
      </c>
      <c r="H26" s="45">
        <f>(F26*G26-F26*I26)*Discount!C15</f>
        <v>847977.03377658792</v>
      </c>
      <c r="I26" s="77"/>
      <c r="K26" s="47">
        <f t="shared" si="1"/>
        <v>2029</v>
      </c>
      <c r="L26" s="42">
        <v>0</v>
      </c>
      <c r="M26" s="42">
        <v>0</v>
      </c>
      <c r="N26" s="43">
        <f>($C$5*(0.95)*R26*L26-L26*M26)*Discount!C15</f>
        <v>0</v>
      </c>
      <c r="O26" s="42">
        <v>704.40000000000009</v>
      </c>
      <c r="P26" s="42">
        <v>11796</v>
      </c>
      <c r="Q26" s="44">
        <f>(O26*P26-O26*R26)*Discount!C15</f>
        <v>6182752.5340937758</v>
      </c>
      <c r="R26" s="77"/>
      <c r="T26" s="47">
        <f t="shared" si="2"/>
        <v>2029</v>
      </c>
      <c r="U26" s="42">
        <v>0</v>
      </c>
      <c r="V26" s="42">
        <v>0</v>
      </c>
      <c r="W26" s="43">
        <f>($C$5*(0.95)*AA26*U26-U26*V26)*Discount!C15</f>
        <v>0</v>
      </c>
      <c r="X26" s="42">
        <v>0</v>
      </c>
      <c r="Y26" s="42">
        <v>0</v>
      </c>
      <c r="Z26" s="44">
        <f>(X26*Y26-X26*AA26)*Discount!C15</f>
        <v>0</v>
      </c>
      <c r="AA26" s="77"/>
      <c r="AQ26" s="88"/>
      <c r="AR26" s="85"/>
      <c r="AS26" s="85"/>
      <c r="AT26" s="85"/>
    </row>
    <row r="27" spans="2:46" x14ac:dyDescent="0.25">
      <c r="B27" s="47">
        <f t="shared" si="0"/>
        <v>2030</v>
      </c>
      <c r="C27" s="42">
        <v>0</v>
      </c>
      <c r="D27" s="42">
        <v>0</v>
      </c>
      <c r="E27" s="43">
        <f>($C$3*(0.9625)*I27*C27-C27*D27)*Discount!C16</f>
        <v>0</v>
      </c>
      <c r="F27" s="42">
        <v>0</v>
      </c>
      <c r="G27" s="42">
        <v>0</v>
      </c>
      <c r="H27" s="45">
        <f>(F27*G27-F27*I27)*Discount!C16</f>
        <v>0</v>
      </c>
      <c r="I27" s="77"/>
      <c r="K27" s="47">
        <f t="shared" si="1"/>
        <v>2030</v>
      </c>
      <c r="L27" s="42">
        <v>0</v>
      </c>
      <c r="M27" s="42">
        <v>0</v>
      </c>
      <c r="N27" s="43">
        <f>($C$5*(0.95)*R27*L27-L27*M27)*Discount!C16</f>
        <v>0</v>
      </c>
      <c r="O27" s="42">
        <v>528</v>
      </c>
      <c r="P27" s="42">
        <v>12237</v>
      </c>
      <c r="Q27" s="44">
        <f>(O27*P27-O27*R27)*Discount!C16</f>
        <v>4667662.117398221</v>
      </c>
      <c r="R27" s="77"/>
      <c r="T27" s="47">
        <f t="shared" si="2"/>
        <v>2030</v>
      </c>
      <c r="U27" s="42">
        <v>0</v>
      </c>
      <c r="V27" s="42">
        <v>0</v>
      </c>
      <c r="W27" s="43">
        <f>($C$5*(0.95)*AA27*U27-U27*V27)*Discount!C16</f>
        <v>0</v>
      </c>
      <c r="X27" s="42">
        <v>0</v>
      </c>
      <c r="Y27" s="42">
        <v>0</v>
      </c>
      <c r="Z27" s="44">
        <f>(X27*Y27-X27*AA27)*Discount!C16</f>
        <v>0</v>
      </c>
      <c r="AA27" s="77"/>
      <c r="AQ27" s="88"/>
      <c r="AR27" s="85"/>
      <c r="AS27" s="85"/>
      <c r="AT27" s="85"/>
    </row>
    <row r="28" spans="2:46" x14ac:dyDescent="0.25">
      <c r="B28" s="47">
        <f t="shared" si="0"/>
        <v>2031</v>
      </c>
      <c r="C28" s="42">
        <v>0</v>
      </c>
      <c r="D28" s="42">
        <v>0</v>
      </c>
      <c r="E28" s="43">
        <f>($C$3*(0.9625)*I28*C28-C28*D28)*Discount!C17</f>
        <v>0</v>
      </c>
      <c r="F28" s="42">
        <v>0</v>
      </c>
      <c r="G28" s="42">
        <v>0</v>
      </c>
      <c r="H28" s="45">
        <f>(F28*G28-F28*I28)*Discount!C17</f>
        <v>0</v>
      </c>
      <c r="I28" s="77"/>
      <c r="K28" s="47">
        <f t="shared" si="1"/>
        <v>2031</v>
      </c>
      <c r="L28" s="42">
        <v>0</v>
      </c>
      <c r="M28" s="42">
        <v>0</v>
      </c>
      <c r="N28" s="43">
        <f>($C$5*(0.95)*R28*L28-L28*M28)*Discount!C17</f>
        <v>0</v>
      </c>
      <c r="O28" s="42">
        <v>528</v>
      </c>
      <c r="P28" s="42">
        <v>12237</v>
      </c>
      <c r="Q28" s="44">
        <f>(O28*P28-O28*R28)*Discount!C17</f>
        <v>4531710.7935905065</v>
      </c>
      <c r="R28" s="77"/>
      <c r="T28" s="47">
        <f t="shared" si="2"/>
        <v>2031</v>
      </c>
      <c r="U28" s="42">
        <v>0</v>
      </c>
      <c r="V28" s="42">
        <v>0</v>
      </c>
      <c r="W28" s="43">
        <f>($C$5*(0.95)*AA28*U28-U28*V28)*Discount!C17</f>
        <v>0</v>
      </c>
      <c r="X28" s="42">
        <v>0</v>
      </c>
      <c r="Y28" s="42">
        <v>0</v>
      </c>
      <c r="Z28" s="44">
        <f>(X28*Y28-X28*AA28)*Discount!C17</f>
        <v>0</v>
      </c>
      <c r="AA28" s="77"/>
      <c r="AQ28" s="88"/>
      <c r="AR28" s="85"/>
      <c r="AS28" s="85"/>
      <c r="AT28" s="85"/>
    </row>
    <row r="29" spans="2:46" x14ac:dyDescent="0.25">
      <c r="B29" s="41"/>
      <c r="C29" s="41"/>
      <c r="D29" s="41"/>
      <c r="E29" s="40"/>
      <c r="F29" s="90"/>
      <c r="G29" s="41"/>
      <c r="H29" s="39"/>
      <c r="I29" s="40"/>
      <c r="K29" s="41"/>
      <c r="L29" s="41"/>
      <c r="M29" s="41"/>
      <c r="N29" s="41"/>
      <c r="O29" s="40"/>
      <c r="P29" s="41"/>
      <c r="Q29" s="41"/>
      <c r="R29" s="39"/>
      <c r="T29" s="41"/>
      <c r="U29" s="41"/>
      <c r="V29" s="41"/>
      <c r="W29" s="41"/>
      <c r="X29" s="40"/>
      <c r="Y29" s="41"/>
      <c r="Z29" s="41"/>
      <c r="AA29" s="39"/>
      <c r="AQ29" s="88"/>
      <c r="AT29" s="85"/>
    </row>
    <row r="30" spans="2:46" ht="15.75" thickBot="1" x14ac:dyDescent="0.3">
      <c r="B30" s="41"/>
      <c r="C30" s="41"/>
      <c r="D30" s="41"/>
      <c r="E30" s="40"/>
      <c r="F30" s="41"/>
      <c r="G30" s="41"/>
      <c r="H30" s="39"/>
      <c r="I30" s="40"/>
      <c r="K30" s="41"/>
      <c r="L30" s="41"/>
      <c r="M30" s="41"/>
      <c r="N30" s="41"/>
      <c r="O30" s="40"/>
      <c r="P30" s="41"/>
      <c r="Q30" s="41"/>
      <c r="R30" s="39"/>
      <c r="T30" s="41"/>
      <c r="U30" s="41"/>
      <c r="V30" s="41"/>
      <c r="W30" s="41"/>
      <c r="X30" s="40"/>
      <c r="Y30" s="41"/>
      <c r="Z30" s="41"/>
      <c r="AA30" s="39"/>
      <c r="AQ30" s="88"/>
      <c r="AR30" s="89"/>
      <c r="AS30" s="89"/>
      <c r="AT30" s="89"/>
    </row>
    <row r="31" spans="2:46" ht="20.100000000000001" customHeight="1" x14ac:dyDescent="0.25">
      <c r="B31" s="62" t="s">
        <v>21</v>
      </c>
      <c r="C31" s="63" t="s">
        <v>6</v>
      </c>
      <c r="D31" s="63" t="s">
        <v>8</v>
      </c>
      <c r="E31" s="64"/>
      <c r="F31" s="63" t="s">
        <v>9</v>
      </c>
      <c r="G31" s="65" t="s">
        <v>18</v>
      </c>
      <c r="H31" s="39"/>
      <c r="I31" s="40"/>
      <c r="K31" s="41"/>
      <c r="L31" s="41"/>
      <c r="M31" s="41"/>
      <c r="N31" s="41"/>
      <c r="O31" s="40"/>
      <c r="P31" s="41"/>
      <c r="Q31" s="41"/>
      <c r="R31" s="39"/>
      <c r="T31" s="41"/>
      <c r="U31" s="41"/>
      <c r="V31" s="41"/>
      <c r="W31" s="41"/>
      <c r="X31" s="40"/>
      <c r="Y31" s="41"/>
      <c r="Z31" s="41"/>
      <c r="AA31" s="39"/>
    </row>
    <row r="32" spans="2:46" ht="20.100000000000001" customHeight="1" x14ac:dyDescent="0.25">
      <c r="B32" s="66" t="s">
        <v>14</v>
      </c>
      <c r="C32" s="67">
        <v>1</v>
      </c>
      <c r="D32" s="72" t="str">
        <f>IF(SUM(I42:I57)=0,"",SUM(E41:E57)*10^-6)</f>
        <v/>
      </c>
      <c r="E32" s="72"/>
      <c r="F32" s="72" t="str">
        <f>IF(SUM(I42:I57)=0,"",SUM(H41:H57)*10^-6)</f>
        <v/>
      </c>
      <c r="G32" s="73" t="str">
        <f>IFERROR(D32+F32,"")</f>
        <v/>
      </c>
      <c r="H32" s="39"/>
      <c r="I32" s="40"/>
      <c r="K32" s="41"/>
      <c r="L32" s="41"/>
      <c r="M32" s="41"/>
      <c r="N32" s="41"/>
      <c r="O32" s="40"/>
      <c r="P32" s="41"/>
      <c r="Q32" s="41"/>
      <c r="R32" s="39"/>
      <c r="T32" s="41"/>
      <c r="U32" s="41"/>
      <c r="V32" s="41"/>
      <c r="W32" s="41"/>
      <c r="X32" s="40"/>
      <c r="Y32" s="41"/>
      <c r="Z32" s="41"/>
      <c r="AA32" s="39"/>
    </row>
    <row r="33" spans="2:33" ht="20.100000000000001" customHeight="1" x14ac:dyDescent="0.25">
      <c r="B33" s="66" t="s">
        <v>15</v>
      </c>
      <c r="C33" s="67">
        <v>0.99</v>
      </c>
      <c r="D33" s="72" t="str">
        <f>IF(SUM(R42:R57)=0,"",SUM(N41:N57)*10^-6)</f>
        <v/>
      </c>
      <c r="E33" s="72"/>
      <c r="F33" s="72" t="str">
        <f>IF(SUM(R42:R57)=0,"",SUM(Q41:Q57)*10^-6)</f>
        <v/>
      </c>
      <c r="G33" s="73" t="str">
        <f>IFERROR(D33+F33,"")</f>
        <v/>
      </c>
      <c r="H33" s="39"/>
      <c r="I33" s="40"/>
      <c r="J33" s="86"/>
      <c r="K33" s="41"/>
      <c r="L33" s="41"/>
      <c r="M33" s="41"/>
      <c r="N33" s="41"/>
      <c r="O33" s="40"/>
      <c r="P33" s="41"/>
      <c r="Q33" s="41"/>
      <c r="R33" s="39"/>
      <c r="T33" s="41"/>
      <c r="U33" s="41"/>
      <c r="V33" s="41"/>
      <c r="W33" s="41"/>
      <c r="X33" s="40"/>
      <c r="Y33" s="41"/>
      <c r="Z33" s="41"/>
      <c r="AA33" s="39"/>
    </row>
    <row r="34" spans="2:33" ht="20.100000000000001" customHeight="1" x14ac:dyDescent="0.25">
      <c r="B34" s="68" t="s">
        <v>16</v>
      </c>
      <c r="C34" s="69">
        <v>1.04</v>
      </c>
      <c r="D34" s="74" t="str">
        <f>IF(SUM(AA42:AA57)=0,"",SUM(W41:W57)*10^-6)</f>
        <v/>
      </c>
      <c r="E34" s="72"/>
      <c r="F34" s="74" t="str">
        <f>IF(SUM(AA42:AA57)=0,"",SUM(Z41:Z57)*10^-6)</f>
        <v/>
      </c>
      <c r="G34" s="75" t="str">
        <f>IFERROR(D34+F34,"")</f>
        <v/>
      </c>
      <c r="H34" s="39"/>
      <c r="L34" s="41"/>
      <c r="M34" s="41"/>
      <c r="N34" s="41"/>
      <c r="O34" s="40"/>
      <c r="P34" s="41"/>
      <c r="Q34" s="41"/>
      <c r="R34" s="39"/>
      <c r="T34" s="41"/>
      <c r="U34" s="41"/>
      <c r="V34" s="41"/>
      <c r="W34" s="41"/>
      <c r="X34" s="40"/>
      <c r="Y34" s="41"/>
      <c r="Z34" s="41"/>
      <c r="AA34" s="39"/>
    </row>
    <row r="35" spans="2:33" ht="20.100000000000001" customHeight="1" x14ac:dyDescent="0.25">
      <c r="B35" s="78" t="s">
        <v>24</v>
      </c>
      <c r="C35" s="79"/>
      <c r="D35" s="83"/>
      <c r="E35" s="83"/>
      <c r="F35" s="83"/>
      <c r="G35" s="82">
        <f>SUM(G32:G34)</f>
        <v>0</v>
      </c>
      <c r="J35" s="86"/>
      <c r="K35" s="85"/>
    </row>
    <row r="36" spans="2:33" ht="20.100000000000001" customHeight="1" thickBot="1" x14ac:dyDescent="0.3">
      <c r="B36" s="58" t="s">
        <v>23</v>
      </c>
      <c r="C36" s="59"/>
      <c r="D36" s="60"/>
      <c r="E36" s="60"/>
      <c r="F36" s="60"/>
      <c r="G36" s="61">
        <f>G35*1000000/40467615</f>
        <v>0</v>
      </c>
    </row>
    <row r="37" spans="2:33" x14ac:dyDescent="0.25">
      <c r="B37" s="54"/>
      <c r="D37" s="56"/>
      <c r="E37" s="56"/>
      <c r="F37" s="56"/>
      <c r="G37" s="56"/>
    </row>
    <row r="38" spans="2:33" x14ac:dyDescent="0.25">
      <c r="B38" s="11" t="s">
        <v>14</v>
      </c>
      <c r="D38" s="11"/>
      <c r="E38" s="11"/>
      <c r="F38" s="11"/>
      <c r="G38" s="11"/>
      <c r="H38" s="11"/>
      <c r="I38" s="11"/>
      <c r="K38" s="1" t="s">
        <v>15</v>
      </c>
      <c r="M38" s="1"/>
      <c r="N38" s="1"/>
      <c r="O38" s="1"/>
      <c r="P38" s="1"/>
      <c r="Q38" s="1"/>
      <c r="R38" s="1"/>
      <c r="T38" s="1" t="s">
        <v>16</v>
      </c>
      <c r="V38" s="1"/>
      <c r="W38" s="1"/>
      <c r="X38" s="1"/>
      <c r="Y38" s="1"/>
      <c r="Z38" s="1"/>
      <c r="AA38" s="1"/>
    </row>
    <row r="39" spans="2:33" x14ac:dyDescent="0.25">
      <c r="B39" s="48"/>
      <c r="C39" s="49" t="s">
        <v>4</v>
      </c>
      <c r="D39" s="49" t="s">
        <v>26</v>
      </c>
      <c r="E39" s="49"/>
      <c r="F39" s="49" t="s">
        <v>5</v>
      </c>
      <c r="G39" s="49" t="s">
        <v>1</v>
      </c>
      <c r="H39" s="49"/>
      <c r="I39" s="50" t="s">
        <v>22</v>
      </c>
      <c r="K39" s="48"/>
      <c r="L39" s="49" t="s">
        <v>4</v>
      </c>
      <c r="M39" s="49" t="s">
        <v>26</v>
      </c>
      <c r="N39" s="49"/>
      <c r="O39" s="49" t="s">
        <v>5</v>
      </c>
      <c r="P39" s="49" t="s">
        <v>1</v>
      </c>
      <c r="Q39" s="49"/>
      <c r="R39" s="50" t="s">
        <v>22</v>
      </c>
      <c r="T39" s="48"/>
      <c r="U39" s="49" t="s">
        <v>4</v>
      </c>
      <c r="V39" s="49" t="s">
        <v>26</v>
      </c>
      <c r="W39" s="49"/>
      <c r="X39" s="49" t="s">
        <v>5</v>
      </c>
      <c r="Y39" s="49" t="s">
        <v>1</v>
      </c>
      <c r="Z39" s="49"/>
      <c r="AA39" s="50" t="s">
        <v>22</v>
      </c>
    </row>
    <row r="40" spans="2:33" x14ac:dyDescent="0.25">
      <c r="B40" s="51" t="s">
        <v>20</v>
      </c>
      <c r="C40" s="52" t="s">
        <v>2</v>
      </c>
      <c r="D40" s="52" t="s">
        <v>3</v>
      </c>
      <c r="E40" s="52"/>
      <c r="F40" s="52" t="s">
        <v>2</v>
      </c>
      <c r="G40" s="52" t="s">
        <v>3</v>
      </c>
      <c r="H40" s="52"/>
      <c r="I40" s="53" t="s">
        <v>3</v>
      </c>
      <c r="K40" s="51" t="s">
        <v>20</v>
      </c>
      <c r="L40" s="52" t="s">
        <v>2</v>
      </c>
      <c r="M40" s="52" t="s">
        <v>3</v>
      </c>
      <c r="N40" s="52"/>
      <c r="O40" s="52" t="s">
        <v>2</v>
      </c>
      <c r="P40" s="52" t="s">
        <v>3</v>
      </c>
      <c r="Q40" s="52"/>
      <c r="R40" s="53" t="s">
        <v>3</v>
      </c>
      <c r="T40" s="51" t="s">
        <v>20</v>
      </c>
      <c r="U40" s="52" t="s">
        <v>2</v>
      </c>
      <c r="V40" s="52" t="s">
        <v>3</v>
      </c>
      <c r="W40" s="52"/>
      <c r="X40" s="52" t="s">
        <v>2</v>
      </c>
      <c r="Y40" s="52" t="s">
        <v>3</v>
      </c>
      <c r="Z40" s="52"/>
      <c r="AA40" s="53" t="s">
        <v>3</v>
      </c>
    </row>
    <row r="41" spans="2:33" hidden="1" x14ac:dyDescent="0.25">
      <c r="B41" s="76" t="s">
        <v>28</v>
      </c>
      <c r="C41" s="42"/>
      <c r="D41" s="43"/>
      <c r="E41" s="43"/>
      <c r="F41" s="43"/>
      <c r="G41" s="44"/>
      <c r="H41" s="45"/>
      <c r="I41" s="77"/>
      <c r="K41" s="76" t="s">
        <v>28</v>
      </c>
      <c r="L41" s="42"/>
      <c r="M41" s="43"/>
      <c r="N41" s="43"/>
      <c r="O41" s="43"/>
      <c r="P41" s="44"/>
      <c r="Q41" s="44"/>
      <c r="R41" s="77"/>
      <c r="T41" s="76" t="s">
        <v>28</v>
      </c>
      <c r="U41" s="42"/>
      <c r="V41" s="43"/>
      <c r="W41" s="43"/>
      <c r="X41" s="43"/>
      <c r="Y41" s="44"/>
      <c r="Z41" s="44"/>
      <c r="AA41" s="77"/>
      <c r="AF41" s="85"/>
      <c r="AG41" s="85"/>
    </row>
    <row r="42" spans="2:33" hidden="1" x14ac:dyDescent="0.25">
      <c r="B42" s="76" t="s">
        <v>27</v>
      </c>
      <c r="C42" s="42"/>
      <c r="D42" s="42"/>
      <c r="E42" s="43"/>
      <c r="F42" s="42"/>
      <c r="G42" s="46"/>
      <c r="H42" s="45"/>
      <c r="I42" s="77"/>
      <c r="K42" s="76" t="s">
        <v>27</v>
      </c>
      <c r="L42" s="42"/>
      <c r="M42" s="42"/>
      <c r="N42" s="43"/>
      <c r="O42" s="42"/>
      <c r="P42" s="42"/>
      <c r="Q42" s="44"/>
      <c r="R42" s="77"/>
      <c r="T42" s="76" t="s">
        <v>27</v>
      </c>
      <c r="U42" s="42"/>
      <c r="V42" s="42"/>
      <c r="W42" s="43"/>
      <c r="X42" s="42"/>
      <c r="Y42" s="42"/>
      <c r="Z42" s="44"/>
      <c r="AA42" s="77"/>
      <c r="AF42" s="85"/>
      <c r="AG42" s="85"/>
    </row>
    <row r="43" spans="2:33" x14ac:dyDescent="0.25">
      <c r="B43" s="76" t="s">
        <v>29</v>
      </c>
      <c r="C43" s="42">
        <v>182</v>
      </c>
      <c r="D43" s="42">
        <v>18600.000005329035</v>
      </c>
      <c r="E43" s="43">
        <f>($C$32*0.975*I43*C43-C43*D43)*Discount!C3</f>
        <v>-3360276.5883212704</v>
      </c>
      <c r="F43" s="42">
        <v>182</v>
      </c>
      <c r="G43" s="46">
        <v>18520.125</v>
      </c>
      <c r="H43" s="45">
        <f>(F43*G43-F43*I43)*Discount!C3</f>
        <v>3345846.3673362006</v>
      </c>
      <c r="I43" s="77"/>
      <c r="K43" s="76" t="s">
        <v>29</v>
      </c>
      <c r="L43" s="42">
        <v>2639.6098894128882</v>
      </c>
      <c r="M43" s="42">
        <v>14489.6127046601</v>
      </c>
      <c r="N43" s="43">
        <f>($C$33*0.975*R43*L43-L43*M43)*Discount!C3</f>
        <v>-37965333.386192478</v>
      </c>
      <c r="O43" s="42">
        <v>1675.0429666666666</v>
      </c>
      <c r="P43" s="42">
        <v>17826.514998821491</v>
      </c>
      <c r="Q43" s="44">
        <f>(O43*P43-O43*R43)*Discount!C3</f>
        <v>29640334.083540179</v>
      </c>
      <c r="R43" s="77"/>
      <c r="T43" s="76" t="s">
        <v>29</v>
      </c>
      <c r="U43" s="42">
        <v>636.22916666666674</v>
      </c>
      <c r="V43" s="42">
        <v>13300.804519611866</v>
      </c>
      <c r="W43" s="43">
        <f>($C$34*0.975*AA43*U43-U43*V43)*Discount!C3</f>
        <v>-8400055.9575348832</v>
      </c>
      <c r="X43" s="42">
        <v>359.34939999999995</v>
      </c>
      <c r="Y43" s="42">
        <v>16139.052219985622</v>
      </c>
      <c r="Z43" s="44">
        <f>(X43*Y43-X43*AA43)*Discount!C3</f>
        <v>5756859.690283332</v>
      </c>
      <c r="AA43" s="77"/>
      <c r="AF43" s="85"/>
      <c r="AG43" s="85"/>
    </row>
    <row r="44" spans="2:33" x14ac:dyDescent="0.25">
      <c r="B44" s="76" t="s">
        <v>30</v>
      </c>
      <c r="C44" s="42">
        <v>94.608999999999995</v>
      </c>
      <c r="D44" s="42">
        <v>18600.005462716977</v>
      </c>
      <c r="E44" s="43">
        <f>($C$32*0.975*I44*C44-C44*D44)*Discount!C4</f>
        <v>-1733911.4380479641</v>
      </c>
      <c r="F44" s="42">
        <v>95</v>
      </c>
      <c r="G44" s="46">
        <v>18520.125</v>
      </c>
      <c r="H44" s="45">
        <f>(F44*G44-F44*I44)*Discount!C4</f>
        <v>1733600.0327874357</v>
      </c>
      <c r="I44" s="77"/>
      <c r="K44" s="76" t="s">
        <v>30</v>
      </c>
      <c r="L44" s="42">
        <v>2368.583333333333</v>
      </c>
      <c r="M44" s="42">
        <v>14696.265971421022</v>
      </c>
      <c r="N44" s="43">
        <f>($C$33*0.975*R44*L44-L44*M44)*Discount!C4</f>
        <v>-34298652.635003634</v>
      </c>
      <c r="O44" s="42">
        <v>991.54169999999999</v>
      </c>
      <c r="P44" s="42">
        <v>17071.274109012102</v>
      </c>
      <c r="Q44" s="44">
        <f>(O44*P44-O44*R44)*Discount!C4</f>
        <v>16678550.60097101</v>
      </c>
      <c r="R44" s="77"/>
      <c r="T44" s="76" t="s">
        <v>30</v>
      </c>
      <c r="U44" s="42">
        <v>682.64580000000001</v>
      </c>
      <c r="V44" s="42">
        <v>13340.210793490385</v>
      </c>
      <c r="W44" s="43">
        <f>($C$34*0.975*AA44*U44-U44*V44)*Discount!C4</f>
        <v>-8973037.9035812765</v>
      </c>
      <c r="X44" s="42">
        <v>4.58E-2</v>
      </c>
      <c r="Y44" s="42">
        <v>13431.784805484198</v>
      </c>
      <c r="Z44" s="44">
        <f>(X44*Y44-X44*AA44)*Discount!C4</f>
        <v>606.1506718695407</v>
      </c>
      <c r="AA44" s="77"/>
      <c r="AF44" s="85"/>
      <c r="AG44" s="85"/>
    </row>
    <row r="45" spans="2:33" x14ac:dyDescent="0.25">
      <c r="B45" s="76" t="s">
        <v>31</v>
      </c>
      <c r="C45" s="42">
        <v>0</v>
      </c>
      <c r="D45" s="42">
        <v>0</v>
      </c>
      <c r="E45" s="43">
        <f>($C$32*0.975*I45*C45-C45*D45)*Discount!C5</f>
        <v>0</v>
      </c>
      <c r="F45" s="42">
        <v>0</v>
      </c>
      <c r="G45" s="42">
        <v>0</v>
      </c>
      <c r="H45" s="45">
        <f>(F45*G45-F45*I45)*Discount!C5</f>
        <v>0</v>
      </c>
      <c r="I45" s="77"/>
      <c r="K45" s="76" t="s">
        <v>31</v>
      </c>
      <c r="L45" s="42">
        <v>2182.2368055555553</v>
      </c>
      <c r="M45" s="42">
        <v>14912.023604985256</v>
      </c>
      <c r="N45" s="43">
        <f>($C$33*0.975*R45*L45-L45*M45)*Discount!C5</f>
        <v>-31828087.274273816</v>
      </c>
      <c r="O45" s="42">
        <v>920</v>
      </c>
      <c r="P45" s="42">
        <v>17225.358005254417</v>
      </c>
      <c r="Q45" s="44">
        <f>(O45*P45-O45*R45)*Discount!C5</f>
        <v>15499873.926425643</v>
      </c>
      <c r="R45" s="77"/>
      <c r="T45" s="76" t="s">
        <v>31</v>
      </c>
      <c r="U45" s="42">
        <v>443.25763888888889</v>
      </c>
      <c r="V45" s="42">
        <v>13569.92610455813</v>
      </c>
      <c r="W45" s="43">
        <f>($C$34*0.975*AA45*U45-U45*V45)*Discount!C5</f>
        <v>-5883094.0723196091</v>
      </c>
      <c r="X45" s="42">
        <v>0</v>
      </c>
      <c r="Y45" s="42">
        <v>0</v>
      </c>
      <c r="Z45" s="44">
        <f>(X45*Y45-X45*AA45)*Discount!C5</f>
        <v>0</v>
      </c>
      <c r="AA45" s="77"/>
      <c r="AF45" s="85"/>
      <c r="AG45" s="85"/>
    </row>
    <row r="46" spans="2:33" x14ac:dyDescent="0.25">
      <c r="B46" s="76" t="s">
        <v>32</v>
      </c>
      <c r="C46" s="42">
        <v>0</v>
      </c>
      <c r="D46" s="42">
        <v>0</v>
      </c>
      <c r="E46" s="43">
        <f>($C$32*0.975*I46*C46-C46*D46)*Discount!C6</f>
        <v>0</v>
      </c>
      <c r="F46" s="42">
        <v>0</v>
      </c>
      <c r="G46" s="42">
        <v>0</v>
      </c>
      <c r="H46" s="45">
        <f>(F46*G46-F46*I46)*Discount!C6</f>
        <v>0</v>
      </c>
      <c r="I46" s="77"/>
      <c r="K46" s="76" t="s">
        <v>32</v>
      </c>
      <c r="L46" s="42">
        <v>2014.5604166666667</v>
      </c>
      <c r="M46" s="42">
        <v>15030.770066947111</v>
      </c>
      <c r="N46" s="43">
        <f>($C$33*0.975*R46*L46-L46*M46)*Discount!C6</f>
        <v>-29398441.173679452</v>
      </c>
      <c r="O46" s="42">
        <v>863.20910000000003</v>
      </c>
      <c r="P46" s="42">
        <v>17211.635521851145</v>
      </c>
      <c r="Q46" s="44">
        <f>(O46*P46-O46*R46)*Discount!C6</f>
        <v>14424505.250820542</v>
      </c>
      <c r="R46" s="77"/>
      <c r="T46" s="76" t="s">
        <v>32</v>
      </c>
      <c r="U46" s="42">
        <v>180.61666666666667</v>
      </c>
      <c r="V46" s="42">
        <v>13118.427609116912</v>
      </c>
      <c r="W46" s="43">
        <f>($C$34*0.975*AA46*U46-U46*V46)*Discount!C6</f>
        <v>-2300394.8220064724</v>
      </c>
      <c r="X46" s="42">
        <v>0</v>
      </c>
      <c r="Y46" s="42">
        <v>0</v>
      </c>
      <c r="Z46" s="44">
        <f>(X46*Y46-X46*AA46)*Discount!C6</f>
        <v>0</v>
      </c>
      <c r="AA46" s="77"/>
      <c r="AF46" s="85"/>
      <c r="AG46" s="85"/>
    </row>
    <row r="47" spans="2:33" x14ac:dyDescent="0.25">
      <c r="B47" s="47">
        <v>2021</v>
      </c>
      <c r="C47" s="42">
        <v>0</v>
      </c>
      <c r="D47" s="42">
        <v>0</v>
      </c>
      <c r="E47" s="43">
        <f>($C$32*0.975*I47*C47-C47*D47)*Discount!C7</f>
        <v>0</v>
      </c>
      <c r="F47" s="42">
        <v>0</v>
      </c>
      <c r="G47" s="42">
        <v>0</v>
      </c>
      <c r="H47" s="45">
        <f>(F47*G47-F47*I47)*Discount!C7</f>
        <v>0</v>
      </c>
      <c r="I47" s="77"/>
      <c r="K47" s="47">
        <v>2021</v>
      </c>
      <c r="L47" s="42">
        <v>6765.7243722222211</v>
      </c>
      <c r="M47" s="42">
        <v>15345.466388797178</v>
      </c>
      <c r="N47" s="43">
        <f>($C$33*0.975*R47*L47-L47*M47)*Discount!C7</f>
        <v>-97863319.775475517</v>
      </c>
      <c r="O47" s="42">
        <v>2886.5</v>
      </c>
      <c r="P47" s="42">
        <v>17235.274217291189</v>
      </c>
      <c r="Q47" s="44">
        <f>(O47*P47-O47*R47)*Discount!C7</f>
        <v>46893787.376954488</v>
      </c>
      <c r="R47" s="77"/>
      <c r="T47" s="47">
        <v>2021</v>
      </c>
      <c r="U47" s="42">
        <v>85</v>
      </c>
      <c r="V47" s="42">
        <v>13232.5</v>
      </c>
      <c r="W47" s="43">
        <f>($C$34*0.975*AA47*U47-U47*V47)*Discount!C7</f>
        <v>-1060196.5312470545</v>
      </c>
      <c r="X47" s="42">
        <v>0</v>
      </c>
      <c r="Y47" s="42">
        <v>0</v>
      </c>
      <c r="Z47" s="44">
        <f>(X47*Y47-X47*AA47)*Discount!C7</f>
        <v>0</v>
      </c>
      <c r="AA47" s="77"/>
      <c r="AF47" s="85"/>
      <c r="AG47" s="85"/>
    </row>
    <row r="48" spans="2:33" x14ac:dyDescent="0.25">
      <c r="B48" s="47">
        <f t="shared" ref="B48:B57" si="3">B47+1</f>
        <v>2022</v>
      </c>
      <c r="C48" s="42">
        <v>0</v>
      </c>
      <c r="D48" s="42">
        <v>0</v>
      </c>
      <c r="E48" s="43">
        <f>($C$32*0.975*I48*C48-C48*D48)*Discount!C8</f>
        <v>0</v>
      </c>
      <c r="F48" s="42">
        <v>0</v>
      </c>
      <c r="G48" s="42">
        <v>0</v>
      </c>
      <c r="H48" s="45">
        <f>(F48*G48-F48*I48)*Discount!C8</f>
        <v>0</v>
      </c>
      <c r="I48" s="77"/>
      <c r="K48" s="47">
        <f t="shared" ref="K48:K57" si="4">K47+1</f>
        <v>2022</v>
      </c>
      <c r="L48" s="42">
        <v>6184.5833000000002</v>
      </c>
      <c r="M48" s="42">
        <v>15252.489314132796</v>
      </c>
      <c r="N48" s="43">
        <f>($C$33*0.975*R48*L48-L48*M48)*Discount!C8</f>
        <v>-86325578.754450247</v>
      </c>
      <c r="O48" s="42">
        <v>1823.6978666666666</v>
      </c>
      <c r="P48" s="42">
        <v>17086.645550559766</v>
      </c>
      <c r="Q48" s="44">
        <f>(O48*P48-O48*R48)*Discount!C8</f>
        <v>28516618.550695039</v>
      </c>
      <c r="R48" s="77"/>
      <c r="T48" s="47">
        <f t="shared" ref="T48:T57" si="5">T47+1</f>
        <v>2022</v>
      </c>
      <c r="U48" s="42">
        <v>0</v>
      </c>
      <c r="V48" s="42">
        <v>0</v>
      </c>
      <c r="W48" s="43">
        <f>($C$34*0.975*AA48*U48-U48*V48)*Discount!C8</f>
        <v>0</v>
      </c>
      <c r="X48" s="42">
        <v>0</v>
      </c>
      <c r="Y48" s="42">
        <v>0</v>
      </c>
      <c r="Z48" s="44">
        <f>(X48*Y48-X48*AA48)*Discount!C8</f>
        <v>0</v>
      </c>
      <c r="AA48" s="77"/>
      <c r="AF48" s="85"/>
      <c r="AG48" s="85"/>
    </row>
    <row r="49" spans="2:27" x14ac:dyDescent="0.25">
      <c r="B49" s="47">
        <f t="shared" si="3"/>
        <v>2023</v>
      </c>
      <c r="C49" s="42">
        <v>0</v>
      </c>
      <c r="D49" s="42">
        <v>0</v>
      </c>
      <c r="E49" s="43">
        <f>($C$32*0.975*I49*C49-C49*D49)*Discount!C9</f>
        <v>0</v>
      </c>
      <c r="F49" s="42">
        <v>0</v>
      </c>
      <c r="G49" s="42">
        <v>0</v>
      </c>
      <c r="H49" s="45">
        <f>(F49*G49-F49*I49)*Discount!C9</f>
        <v>0</v>
      </c>
      <c r="I49" s="77"/>
      <c r="K49" s="47">
        <f t="shared" si="4"/>
        <v>2023</v>
      </c>
      <c r="L49" s="42">
        <v>4967.4332999999997</v>
      </c>
      <c r="M49" s="42">
        <v>15231.094169334467</v>
      </c>
      <c r="N49" s="43">
        <f>($C$33*0.975*R49*L49-L49*M49)*Discount!C9</f>
        <v>-67222436.377186492</v>
      </c>
      <c r="O49" s="42">
        <v>90</v>
      </c>
      <c r="P49" s="42">
        <v>16586.502220839007</v>
      </c>
      <c r="Q49" s="44">
        <f>(O49*P49-O49*R49)*Discount!C9</f>
        <v>1326320.3154096243</v>
      </c>
      <c r="R49" s="77"/>
      <c r="T49" s="47">
        <f t="shared" si="5"/>
        <v>2023</v>
      </c>
      <c r="U49" s="42">
        <v>0</v>
      </c>
      <c r="V49" s="42">
        <v>0</v>
      </c>
      <c r="W49" s="43">
        <f>($C$34*0.975*AA49*U49-U49*V49)*Discount!C9</f>
        <v>0</v>
      </c>
      <c r="X49" s="42">
        <v>0</v>
      </c>
      <c r="Y49" s="42">
        <v>0</v>
      </c>
      <c r="Z49" s="44">
        <f>(X49*Y49-X49*AA49)*Discount!C9</f>
        <v>0</v>
      </c>
      <c r="AA49" s="77"/>
    </row>
    <row r="50" spans="2:27" x14ac:dyDescent="0.25">
      <c r="B50" s="47">
        <f t="shared" si="3"/>
        <v>2024</v>
      </c>
      <c r="C50" s="42">
        <v>0</v>
      </c>
      <c r="D50" s="42">
        <v>0</v>
      </c>
      <c r="E50" s="43">
        <f>($C$32*0.975*I50*C50-C50*D50)*Discount!C10</f>
        <v>0</v>
      </c>
      <c r="F50" s="42">
        <v>0</v>
      </c>
      <c r="G50" s="42">
        <v>0</v>
      </c>
      <c r="H50" s="45">
        <f>(F50*G50-F50*I50)*Discount!C10</f>
        <v>0</v>
      </c>
      <c r="I50" s="77"/>
      <c r="K50" s="47">
        <f t="shared" si="4"/>
        <v>2024</v>
      </c>
      <c r="L50" s="42">
        <v>3576.0631944444444</v>
      </c>
      <c r="M50" s="42">
        <v>15258.67253009786</v>
      </c>
      <c r="N50" s="43">
        <f>($C$33*0.975*R50*L50-L50*M50)*Discount!C10</f>
        <v>-47069091.287935354</v>
      </c>
      <c r="O50" s="42">
        <v>0</v>
      </c>
      <c r="P50" s="42">
        <v>0</v>
      </c>
      <c r="Q50" s="44">
        <f>(O50*P50-O50*R50)*Discount!C10</f>
        <v>0</v>
      </c>
      <c r="R50" s="77"/>
      <c r="T50" s="47">
        <f t="shared" si="5"/>
        <v>2024</v>
      </c>
      <c r="U50" s="42">
        <v>0</v>
      </c>
      <c r="V50" s="42">
        <v>0</v>
      </c>
      <c r="W50" s="43">
        <f>($C$34*0.975*AA50*U50-U50*V50)*Discount!C10</f>
        <v>0</v>
      </c>
      <c r="X50" s="42">
        <v>0</v>
      </c>
      <c r="Y50" s="42">
        <v>0</v>
      </c>
      <c r="Z50" s="44">
        <f>(X50*Y50-X50*AA50)*Discount!C10</f>
        <v>0</v>
      </c>
      <c r="AA50" s="77"/>
    </row>
    <row r="51" spans="2:27" x14ac:dyDescent="0.25">
      <c r="B51" s="47">
        <f t="shared" si="3"/>
        <v>2025</v>
      </c>
      <c r="C51" s="42">
        <v>0</v>
      </c>
      <c r="D51" s="42">
        <v>0</v>
      </c>
      <c r="E51" s="43">
        <f>($C$32*0.975*I51*C51-C51*D51)*Discount!C11</f>
        <v>0</v>
      </c>
      <c r="F51" s="42">
        <v>0</v>
      </c>
      <c r="G51" s="42">
        <v>0</v>
      </c>
      <c r="H51" s="45">
        <f>(F51*G51-F51*I51)*Discount!C11</f>
        <v>0</v>
      </c>
      <c r="I51" s="77"/>
      <c r="K51" s="47">
        <f t="shared" si="4"/>
        <v>2025</v>
      </c>
      <c r="L51" s="42">
        <v>2111.0013888888889</v>
      </c>
      <c r="M51" s="42">
        <v>14921.364202481576</v>
      </c>
      <c r="N51" s="43">
        <f>($C$33*0.975*R51*L51-L51*M51)*Discount!C11</f>
        <v>-26379933.816232596</v>
      </c>
      <c r="O51" s="42">
        <v>0</v>
      </c>
      <c r="P51" s="42">
        <v>0</v>
      </c>
      <c r="Q51" s="44">
        <f>(O51*P51-O51*R51)*Discount!C11</f>
        <v>0</v>
      </c>
      <c r="R51" s="77"/>
      <c r="T51" s="47">
        <f t="shared" si="5"/>
        <v>2025</v>
      </c>
      <c r="U51" s="42">
        <v>0</v>
      </c>
      <c r="V51" s="42">
        <v>0</v>
      </c>
      <c r="W51" s="43">
        <f>($C$34*0.975*AA51*U51-U51*V51)*Discount!C11</f>
        <v>0</v>
      </c>
      <c r="X51" s="42">
        <v>0</v>
      </c>
      <c r="Y51" s="42">
        <v>0</v>
      </c>
      <c r="Z51" s="44">
        <f>(X51*Y51-X51*AA51)*Discount!C11</f>
        <v>0</v>
      </c>
      <c r="AA51" s="77"/>
    </row>
    <row r="52" spans="2:27" x14ac:dyDescent="0.25">
      <c r="B52" s="47">
        <f t="shared" si="3"/>
        <v>2026</v>
      </c>
      <c r="C52" s="42">
        <v>0</v>
      </c>
      <c r="D52" s="42">
        <v>0</v>
      </c>
      <c r="E52" s="43">
        <f>($C$32*0.975*I52*C52-C52*D52)*Discount!C12</f>
        <v>0</v>
      </c>
      <c r="F52" s="42">
        <v>0</v>
      </c>
      <c r="G52" s="42">
        <v>0</v>
      </c>
      <c r="H52" s="45">
        <f>(F52*G52-F52*I52)*Discount!C12</f>
        <v>0</v>
      </c>
      <c r="I52" s="77"/>
      <c r="K52" s="47">
        <f t="shared" si="4"/>
        <v>2026</v>
      </c>
      <c r="L52" s="42">
        <v>392.00138888888887</v>
      </c>
      <c r="M52" s="42">
        <v>14590.051055658107</v>
      </c>
      <c r="N52" s="43">
        <f>($C$33*0.975*R52*L52-L52*M52)*Discount!C12</f>
        <v>-4650330.7685150225</v>
      </c>
      <c r="O52" s="42">
        <v>0</v>
      </c>
      <c r="P52" s="42">
        <v>0</v>
      </c>
      <c r="Q52" s="44">
        <f>(O52*P52-O52*R52)*Discount!C12</f>
        <v>0</v>
      </c>
      <c r="R52" s="77"/>
      <c r="T52" s="47">
        <f t="shared" si="5"/>
        <v>2026</v>
      </c>
      <c r="U52" s="42">
        <v>0</v>
      </c>
      <c r="V52" s="42">
        <v>0</v>
      </c>
      <c r="W52" s="43">
        <f>($C$34*0.975*AA52*U52-U52*V52)*Discount!C12</f>
        <v>0</v>
      </c>
      <c r="X52" s="42">
        <v>0</v>
      </c>
      <c r="Y52" s="42">
        <v>0</v>
      </c>
      <c r="Z52" s="44">
        <f>(X52*Y52-X52*AA52)*Discount!C12</f>
        <v>0</v>
      </c>
      <c r="AA52" s="77"/>
    </row>
    <row r="53" spans="2:27" x14ac:dyDescent="0.25">
      <c r="B53" s="47">
        <f t="shared" si="3"/>
        <v>2027</v>
      </c>
      <c r="C53" s="42">
        <v>0</v>
      </c>
      <c r="D53" s="42">
        <v>0</v>
      </c>
      <c r="E53" s="43">
        <f>($C$32*0.975*I53*C53-C53*D53)*Discount!C13</f>
        <v>0</v>
      </c>
      <c r="F53" s="42">
        <v>0</v>
      </c>
      <c r="G53" s="42">
        <v>0</v>
      </c>
      <c r="H53" s="45">
        <f>(F53*G53-F53*I53)*Discount!C13</f>
        <v>0</v>
      </c>
      <c r="I53" s="77"/>
      <c r="K53" s="47">
        <f t="shared" si="4"/>
        <v>2027</v>
      </c>
      <c r="L53" s="42">
        <v>0</v>
      </c>
      <c r="M53" s="42">
        <v>0</v>
      </c>
      <c r="N53" s="43">
        <f>($C$33*0.975*R53*L53-L53*M53)*Discount!C13</f>
        <v>0</v>
      </c>
      <c r="O53" s="42">
        <v>0</v>
      </c>
      <c r="P53" s="42">
        <v>0</v>
      </c>
      <c r="Q53" s="44">
        <f>(O53*P53-O53*R53)*Discount!C13</f>
        <v>0</v>
      </c>
      <c r="R53" s="77"/>
      <c r="T53" s="47">
        <f t="shared" si="5"/>
        <v>2027</v>
      </c>
      <c r="U53" s="42">
        <v>0</v>
      </c>
      <c r="V53" s="42">
        <v>0</v>
      </c>
      <c r="W53" s="43">
        <f>($C$34*0.975*AA53*U53-U53*V53)*Discount!C13</f>
        <v>0</v>
      </c>
      <c r="X53" s="42">
        <v>0</v>
      </c>
      <c r="Y53" s="42">
        <v>0</v>
      </c>
      <c r="Z53" s="44">
        <f>(X53*Y53-X53*AA53)*Discount!C13</f>
        <v>0</v>
      </c>
      <c r="AA53" s="77"/>
    </row>
    <row r="54" spans="2:27" x14ac:dyDescent="0.25">
      <c r="B54" s="47">
        <f t="shared" si="3"/>
        <v>2028</v>
      </c>
      <c r="C54" s="42">
        <v>0</v>
      </c>
      <c r="D54" s="42">
        <v>0</v>
      </c>
      <c r="E54" s="43">
        <f>($C$32*0.975*I54*C54-C54*D54)*Discount!C14</f>
        <v>0</v>
      </c>
      <c r="F54" s="42">
        <v>0</v>
      </c>
      <c r="G54" s="42">
        <v>0</v>
      </c>
      <c r="H54" s="45">
        <f>(F54*G54-F54*I54)*Discount!C14</f>
        <v>0</v>
      </c>
      <c r="I54" s="77"/>
      <c r="K54" s="47">
        <f t="shared" si="4"/>
        <v>2028</v>
      </c>
      <c r="L54" s="42">
        <v>0</v>
      </c>
      <c r="M54" s="42">
        <v>0</v>
      </c>
      <c r="N54" s="43">
        <f>($C$33*0.975*R54*L54-L54*M54)*Discount!C14</f>
        <v>0</v>
      </c>
      <c r="O54" s="42">
        <v>0</v>
      </c>
      <c r="P54" s="42">
        <v>0</v>
      </c>
      <c r="Q54" s="44">
        <f>(O54*P54-O54*R54)*Discount!C14</f>
        <v>0</v>
      </c>
      <c r="R54" s="77"/>
      <c r="T54" s="47">
        <f t="shared" si="5"/>
        <v>2028</v>
      </c>
      <c r="U54" s="42">
        <v>0</v>
      </c>
      <c r="V54" s="42">
        <v>0</v>
      </c>
      <c r="W54" s="43">
        <f>($C$34*0.975*AA54*U54-U54*V54)*Discount!C14</f>
        <v>0</v>
      </c>
      <c r="X54" s="42">
        <v>0</v>
      </c>
      <c r="Y54" s="42">
        <v>0</v>
      </c>
      <c r="Z54" s="44">
        <f>(X54*Y54-X54*AA54)*Discount!C14</f>
        <v>0</v>
      </c>
      <c r="AA54" s="77"/>
    </row>
    <row r="55" spans="2:27" x14ac:dyDescent="0.25">
      <c r="B55" s="47">
        <f t="shared" si="3"/>
        <v>2029</v>
      </c>
      <c r="C55" s="42">
        <v>0</v>
      </c>
      <c r="D55" s="42">
        <v>0</v>
      </c>
      <c r="E55" s="43">
        <f>($C$32*0.975*I55*C55-C55*D55)*Discount!C15</f>
        <v>0</v>
      </c>
      <c r="F55" s="42">
        <v>0</v>
      </c>
      <c r="G55" s="42">
        <v>0</v>
      </c>
      <c r="H55" s="45">
        <f>(F55*G55-F55*I55)*Discount!C15</f>
        <v>0</v>
      </c>
      <c r="I55" s="77"/>
      <c r="K55" s="47">
        <f t="shared" si="4"/>
        <v>2029</v>
      </c>
      <c r="L55" s="42">
        <v>0</v>
      </c>
      <c r="M55" s="42">
        <v>0</v>
      </c>
      <c r="N55" s="43">
        <f>($C$33*0.975*R55*L55-L55*M55)*Discount!C15</f>
        <v>0</v>
      </c>
      <c r="O55" s="42">
        <v>0</v>
      </c>
      <c r="P55" s="42">
        <v>0</v>
      </c>
      <c r="Q55" s="44">
        <f>(O55*P55-O55*R55)*Discount!C15</f>
        <v>0</v>
      </c>
      <c r="R55" s="77"/>
      <c r="T55" s="47">
        <f t="shared" si="5"/>
        <v>2029</v>
      </c>
      <c r="U55" s="42">
        <v>0</v>
      </c>
      <c r="V55" s="42">
        <v>0</v>
      </c>
      <c r="W55" s="43">
        <f>($C$34*0.975*AA55*U55-U55*V55)*Discount!C15</f>
        <v>0</v>
      </c>
      <c r="X55" s="42">
        <v>0</v>
      </c>
      <c r="Y55" s="42">
        <v>0</v>
      </c>
      <c r="Z55" s="44">
        <f>(X55*Y55-X55*AA55)*Discount!C15</f>
        <v>0</v>
      </c>
      <c r="AA55" s="77"/>
    </row>
    <row r="56" spans="2:27" x14ac:dyDescent="0.25">
      <c r="B56" s="47">
        <f t="shared" si="3"/>
        <v>2030</v>
      </c>
      <c r="C56" s="42">
        <v>0</v>
      </c>
      <c r="D56" s="42">
        <v>0</v>
      </c>
      <c r="E56" s="43">
        <f>($C$32*0.975*I56*C56-C56*D56)*Discount!C16</f>
        <v>0</v>
      </c>
      <c r="F56" s="42">
        <v>0</v>
      </c>
      <c r="G56" s="42">
        <v>0</v>
      </c>
      <c r="H56" s="45">
        <f>(F56*G56-F56*I56)*Discount!C16</f>
        <v>0</v>
      </c>
      <c r="I56" s="77"/>
      <c r="K56" s="47">
        <f t="shared" si="4"/>
        <v>2030</v>
      </c>
      <c r="L56" s="42">
        <v>0</v>
      </c>
      <c r="M56" s="42">
        <v>0</v>
      </c>
      <c r="N56" s="43">
        <f>($C$33*0.975*R56*L56-L56*M56)*Discount!C16</f>
        <v>0</v>
      </c>
      <c r="O56" s="42">
        <v>0</v>
      </c>
      <c r="P56" s="42">
        <v>0</v>
      </c>
      <c r="Q56" s="44">
        <f>(O56*P56-O56*R56)*Discount!C16</f>
        <v>0</v>
      </c>
      <c r="R56" s="77"/>
      <c r="T56" s="47">
        <f t="shared" si="5"/>
        <v>2030</v>
      </c>
      <c r="U56" s="42">
        <v>0</v>
      </c>
      <c r="V56" s="42">
        <v>0</v>
      </c>
      <c r="W56" s="43">
        <f>($C$34*0.975*AA56*U56-U56*V56)*Discount!C16</f>
        <v>0</v>
      </c>
      <c r="X56" s="42">
        <v>0</v>
      </c>
      <c r="Y56" s="42">
        <v>0</v>
      </c>
      <c r="Z56" s="44">
        <f>(X56*Y56-X56*AA56)*Discount!C16</f>
        <v>0</v>
      </c>
      <c r="AA56" s="77"/>
    </row>
    <row r="57" spans="2:27" x14ac:dyDescent="0.25">
      <c r="B57" s="47">
        <f t="shared" si="3"/>
        <v>2031</v>
      </c>
      <c r="C57" s="42">
        <v>0</v>
      </c>
      <c r="D57" s="42">
        <v>0</v>
      </c>
      <c r="E57" s="43">
        <f>($C$32*0.975*I57*C57-C57*D57)*Discount!C17</f>
        <v>0</v>
      </c>
      <c r="F57" s="42">
        <v>0</v>
      </c>
      <c r="G57" s="42">
        <v>0</v>
      </c>
      <c r="H57" s="45">
        <f>(F57*G57-F57*I57)*Discount!C17</f>
        <v>0</v>
      </c>
      <c r="I57" s="77"/>
      <c r="K57" s="47">
        <f t="shared" si="4"/>
        <v>2031</v>
      </c>
      <c r="L57" s="42">
        <v>0</v>
      </c>
      <c r="M57" s="42">
        <v>0</v>
      </c>
      <c r="N57" s="43">
        <f>($C$33*0.975*R57*L57-L57*M57)*Discount!C17</f>
        <v>0</v>
      </c>
      <c r="O57" s="42">
        <v>0</v>
      </c>
      <c r="P57" s="42">
        <v>0</v>
      </c>
      <c r="Q57" s="44">
        <f>(O57*P57-O57*R57)*Discount!C17</f>
        <v>0</v>
      </c>
      <c r="R57" s="77"/>
      <c r="T57" s="47">
        <f t="shared" si="5"/>
        <v>2031</v>
      </c>
      <c r="U57" s="42">
        <v>0</v>
      </c>
      <c r="V57" s="42">
        <v>0</v>
      </c>
      <c r="W57" s="43">
        <f>($C$34*0.975*AA57*U57-U57*V57)*Discount!C17</f>
        <v>0</v>
      </c>
      <c r="X57" s="42">
        <v>0</v>
      </c>
      <c r="Y57" s="42">
        <v>0</v>
      </c>
      <c r="Z57" s="44">
        <f>(X57*Y57-X57*AA57)*Discount!C17</f>
        <v>0</v>
      </c>
      <c r="AA57" s="77"/>
    </row>
    <row r="62" spans="2:27" x14ac:dyDescent="0.25">
      <c r="F62" s="85"/>
      <c r="L62" s="85">
        <f>SUM(L43:L52)-SUM('[1]Valuation of Owner'!$L$45:$L$51)</f>
        <v>13403.092528301768</v>
      </c>
      <c r="O62" s="85">
        <f>SUM(O43:O51)-SUM('[1]Valuation of Owner'!$O$45:$O$48)+182+95</f>
        <v>8160.9909388888882</v>
      </c>
    </row>
  </sheetData>
  <protectedRanges>
    <protectedRange sqref="K2 I12:I28 R12:R28 AA12:AA28 AA41:AA57 I41:I57 R41:R57" name="Range1"/>
  </protectedRange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9"/>
  <sheetViews>
    <sheetView showGridLines="0" workbookViewId="0">
      <selection activeCell="B2" sqref="B2"/>
    </sheetView>
  </sheetViews>
  <sheetFormatPr defaultRowHeight="15" x14ac:dyDescent="0.25"/>
  <sheetData>
    <row r="2" spans="1:3" x14ac:dyDescent="0.25">
      <c r="A2">
        <f ca="1">YEAR(TODAY())</f>
        <v>2020</v>
      </c>
    </row>
    <row r="3" spans="1:3" x14ac:dyDescent="0.25">
      <c r="A3" t="str">
        <f>'Valuation of TC Cover'!B14</f>
        <v>Q1 2020</v>
      </c>
      <c r="B3">
        <v>0.25</v>
      </c>
      <c r="C3">
        <f>1/(1+'Valuation of TC Cover'!$K$2)^(B3)</f>
        <v>0.99263753614513961</v>
      </c>
    </row>
    <row r="4" spans="1:3" x14ac:dyDescent="0.25">
      <c r="A4" t="str">
        <f>'Valuation of TC Cover'!B15</f>
        <v>Q2 2020</v>
      </c>
      <c r="B4">
        <v>0.5</v>
      </c>
      <c r="C4">
        <f>1/(1+'Valuation of TC Cover'!$K$2)^(B4)</f>
        <v>0.98532927816429317</v>
      </c>
    </row>
    <row r="5" spans="1:3" x14ac:dyDescent="0.25">
      <c r="A5" t="str">
        <f>'Valuation of TC Cover'!B16</f>
        <v>Q3 2020</v>
      </c>
      <c r="B5">
        <v>0.75</v>
      </c>
      <c r="C5">
        <f>1/(1+'Valuation of TC Cover'!$K$2)^(B5)</f>
        <v>0.97807482696867276</v>
      </c>
    </row>
    <row r="6" spans="1:3" x14ac:dyDescent="0.25">
      <c r="A6" t="str">
        <f>'Valuation of TC Cover'!B17</f>
        <v>Q4 2020</v>
      </c>
      <c r="B6">
        <v>1</v>
      </c>
      <c r="C6">
        <f>1/(1+'Valuation of TC Cover'!$K$2)^(B6)</f>
        <v>0.970873786407767</v>
      </c>
    </row>
    <row r="7" spans="1:3" x14ac:dyDescent="0.25">
      <c r="A7">
        <f>'Valuation of TC Cover'!B18</f>
        <v>2021</v>
      </c>
      <c r="B7">
        <v>2</v>
      </c>
      <c r="C7">
        <f>1/(1+'Valuation of TC Cover'!$K$2)^(B7)</f>
        <v>0.94259590913375435</v>
      </c>
    </row>
    <row r="8" spans="1:3" x14ac:dyDescent="0.25">
      <c r="A8">
        <f>'Valuation of TC Cover'!B19</f>
        <v>2022</v>
      </c>
      <c r="B8">
        <v>3</v>
      </c>
      <c r="C8">
        <f>1/(1+'Valuation of TC Cover'!$K$2)^(B8)</f>
        <v>0.91514165935315961</v>
      </c>
    </row>
    <row r="9" spans="1:3" x14ac:dyDescent="0.25">
      <c r="A9">
        <f>'Valuation of TC Cover'!B20</f>
        <v>2023</v>
      </c>
      <c r="B9">
        <v>4</v>
      </c>
      <c r="C9">
        <f>1/(1+'Valuation of TC Cover'!$K$2)^(B9)</f>
        <v>0.888487047915689</v>
      </c>
    </row>
    <row r="10" spans="1:3" x14ac:dyDescent="0.25">
      <c r="A10">
        <f>'Valuation of TC Cover'!B21</f>
        <v>2024</v>
      </c>
      <c r="B10">
        <f>B9+1</f>
        <v>5</v>
      </c>
      <c r="C10">
        <f>1/(1+'Valuation of TC Cover'!$K$2)^(B10)</f>
        <v>0.86260878438416411</v>
      </c>
    </row>
    <row r="11" spans="1:3" x14ac:dyDescent="0.25">
      <c r="A11">
        <f>'Valuation of TC Cover'!B22</f>
        <v>2025</v>
      </c>
      <c r="B11">
        <f t="shared" ref="B11:B19" si="0">B10+1</f>
        <v>6</v>
      </c>
      <c r="C11">
        <f>1/(1+'Valuation of TC Cover'!$K$2)^(B11)</f>
        <v>0.83748425668365445</v>
      </c>
    </row>
    <row r="12" spans="1:3" x14ac:dyDescent="0.25">
      <c r="A12">
        <f>'Valuation of TC Cover'!B23</f>
        <v>2026</v>
      </c>
      <c r="B12">
        <f t="shared" si="0"/>
        <v>7</v>
      </c>
      <c r="C12">
        <f>1/(1+'Valuation of TC Cover'!$K$2)^(B12)</f>
        <v>0.81309151134335378</v>
      </c>
    </row>
    <row r="13" spans="1:3" x14ac:dyDescent="0.25">
      <c r="A13">
        <f>'Valuation of TC Cover'!B24</f>
        <v>2027</v>
      </c>
      <c r="B13">
        <f t="shared" si="0"/>
        <v>8</v>
      </c>
      <c r="C13">
        <f>1/(1+'Valuation of TC Cover'!$K$2)^(B13)</f>
        <v>0.78940923431393573</v>
      </c>
    </row>
    <row r="14" spans="1:3" x14ac:dyDescent="0.25">
      <c r="A14">
        <f>'Valuation of TC Cover'!B25</f>
        <v>2028</v>
      </c>
      <c r="B14">
        <f t="shared" si="0"/>
        <v>9</v>
      </c>
      <c r="C14">
        <f>1/(1+'Valuation of TC Cover'!$K$2)^(B14)</f>
        <v>0.76641673234362695</v>
      </c>
    </row>
    <row r="15" spans="1:3" x14ac:dyDescent="0.25">
      <c r="A15">
        <f>'Valuation of TC Cover'!B26</f>
        <v>2029</v>
      </c>
      <c r="B15">
        <f t="shared" si="0"/>
        <v>10</v>
      </c>
      <c r="C15">
        <f>1/(1+'Valuation of TC Cover'!$K$2)^(B15)</f>
        <v>0.74409391489672516</v>
      </c>
    </row>
    <row r="16" spans="1:3" x14ac:dyDescent="0.25">
      <c r="A16">
        <f>'Valuation of TC Cover'!B27</f>
        <v>2030</v>
      </c>
      <c r="B16">
        <f t="shared" si="0"/>
        <v>11</v>
      </c>
      <c r="C16">
        <f>1/(1+'Valuation of TC Cover'!$K$2)^(B16)</f>
        <v>0.72242127659876232</v>
      </c>
    </row>
    <row r="17" spans="1:3" x14ac:dyDescent="0.25">
      <c r="A17">
        <f>'Valuation of TC Cover'!B28</f>
        <v>2031</v>
      </c>
      <c r="B17">
        <f t="shared" si="0"/>
        <v>12</v>
      </c>
      <c r="C17">
        <f>1/(1+'Valuation of TC Cover'!$K$2)^(B17)</f>
        <v>0.70137988019297326</v>
      </c>
    </row>
    <row r="18" spans="1:3" x14ac:dyDescent="0.25">
      <c r="A18">
        <v>2032</v>
      </c>
      <c r="B18">
        <f t="shared" si="0"/>
        <v>13</v>
      </c>
      <c r="C18">
        <f>1/(1+'Valuation of TC Cover'!$K$2)^(B18)</f>
        <v>0.68095133999317792</v>
      </c>
    </row>
    <row r="19" spans="1:3" x14ac:dyDescent="0.25">
      <c r="A19">
        <v>2033</v>
      </c>
      <c r="B19">
        <f t="shared" si="0"/>
        <v>14</v>
      </c>
      <c r="C19">
        <f>1/(1+'Valuation of TC Cover'!$K$2)^(B19)</f>
        <v>0.66111780581861923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76"/>
  <sheetViews>
    <sheetView showGridLines="0" zoomScale="70" zoomScaleNormal="70" workbookViewId="0">
      <selection activeCell="R20" sqref="R20"/>
    </sheetView>
  </sheetViews>
  <sheetFormatPr defaultRowHeight="15" x14ac:dyDescent="0.25"/>
  <cols>
    <col min="2" max="2" width="15.7109375" customWidth="1"/>
    <col min="3" max="3" width="16.85546875" customWidth="1"/>
    <col min="4" max="4" width="17.28515625" customWidth="1"/>
    <col min="5" max="5" width="18.7109375" hidden="1" customWidth="1"/>
    <col min="6" max="6" width="19.28515625" customWidth="1"/>
    <col min="7" max="7" width="15" customWidth="1"/>
    <col min="8" max="8" width="23.5703125" hidden="1" customWidth="1"/>
    <col min="9" max="9" width="28.85546875" customWidth="1"/>
    <col min="10" max="10" width="12.5703125" customWidth="1"/>
    <col min="11" max="11" width="17.28515625" customWidth="1"/>
    <col min="12" max="12" width="17.85546875" customWidth="1"/>
    <col min="13" max="13" width="18.7109375" customWidth="1"/>
    <col min="14" max="14" width="18.7109375" hidden="1" customWidth="1"/>
    <col min="15" max="15" width="18" customWidth="1"/>
    <col min="16" max="16" width="14.28515625" customWidth="1"/>
    <col min="17" max="17" width="23.5703125" hidden="1" customWidth="1"/>
    <col min="18" max="18" width="28.85546875" customWidth="1"/>
    <col min="19" max="20" width="13.85546875" customWidth="1"/>
    <col min="21" max="21" width="18.7109375" customWidth="1"/>
    <col min="22" max="22" width="14.85546875" customWidth="1"/>
    <col min="23" max="23" width="15" hidden="1" customWidth="1"/>
    <col min="24" max="24" width="16.140625" customWidth="1"/>
    <col min="25" max="25" width="14.28515625" customWidth="1"/>
    <col min="26" max="26" width="23.5703125" hidden="1" customWidth="1"/>
    <col min="27" max="27" width="28.85546875" customWidth="1"/>
  </cols>
  <sheetData>
    <row r="2" spans="2:18" x14ac:dyDescent="0.25">
      <c r="B2" s="12" t="s">
        <v>19</v>
      </c>
      <c r="C2" s="13">
        <v>0.05</v>
      </c>
    </row>
    <row r="3" spans="2:18" ht="15.75" thickBot="1" x14ac:dyDescent="0.3"/>
    <row r="4" spans="2:18" x14ac:dyDescent="0.25">
      <c r="B4" s="24"/>
      <c r="C4" s="25" t="s">
        <v>6</v>
      </c>
      <c r="D4" s="25" t="s">
        <v>8</v>
      </c>
      <c r="E4" s="26"/>
      <c r="F4" s="25" t="s">
        <v>9</v>
      </c>
      <c r="G4" s="91" t="s">
        <v>18</v>
      </c>
      <c r="H4" s="91"/>
      <c r="I4" s="92"/>
      <c r="K4" s="37"/>
      <c r="L4" s="25" t="s">
        <v>6</v>
      </c>
      <c r="M4" s="25" t="s">
        <v>8</v>
      </c>
      <c r="N4" s="26"/>
      <c r="O4" s="38" t="s">
        <v>9</v>
      </c>
      <c r="P4" s="91" t="s">
        <v>18</v>
      </c>
      <c r="Q4" s="91"/>
      <c r="R4" s="92"/>
    </row>
    <row r="5" spans="2:18" x14ac:dyDescent="0.25">
      <c r="B5" s="27" t="s">
        <v>10</v>
      </c>
      <c r="C5" s="28"/>
      <c r="D5" s="29">
        <f>NPV(C2,E13:E30)</f>
        <v>-38888010.06079156</v>
      </c>
      <c r="E5" s="28"/>
      <c r="F5" s="29">
        <f>NPV(C2,H13:H30)</f>
        <v>31483037.769153796</v>
      </c>
      <c r="G5" s="93">
        <f>D5+F5</f>
        <v>-7404972.2916377634</v>
      </c>
      <c r="H5" s="93"/>
      <c r="I5" s="94"/>
      <c r="K5" s="27" t="s">
        <v>14</v>
      </c>
      <c r="L5" s="28"/>
      <c r="M5" s="29">
        <f>NPV(C2,N13:N30)</f>
        <v>-6213410.1039004661</v>
      </c>
      <c r="N5" s="28"/>
      <c r="O5" s="29">
        <f>NPV(C2,Q13:Q30)</f>
        <v>0</v>
      </c>
      <c r="P5" s="93">
        <f>M5+O5</f>
        <v>-6213410.1039004661</v>
      </c>
      <c r="Q5" s="93"/>
      <c r="R5" s="94"/>
    </row>
    <row r="6" spans="2:18" x14ac:dyDescent="0.25">
      <c r="B6" s="27" t="s">
        <v>11</v>
      </c>
      <c r="C6" s="28"/>
      <c r="D6" s="29">
        <f>NPV(C2,E36:E53)</f>
        <v>-10825202.857315792</v>
      </c>
      <c r="E6" s="28"/>
      <c r="F6" s="29">
        <f>NPV(C2,H36:H53)</f>
        <v>21352088.16416204</v>
      </c>
      <c r="G6" s="93">
        <f>D6+F6</f>
        <v>10526885.306846248</v>
      </c>
      <c r="H6" s="93"/>
      <c r="I6" s="94"/>
      <c r="K6" s="27" t="s">
        <v>15</v>
      </c>
      <c r="L6" s="28"/>
      <c r="M6" s="29">
        <f>NPV(C2,N36:N53)</f>
        <v>-1063408.8618526137</v>
      </c>
      <c r="N6" s="28"/>
      <c r="O6" s="29">
        <f>NPV(C2,Q36:Q53)</f>
        <v>-680404.15061686514</v>
      </c>
      <c r="P6" s="93">
        <f>M6+O6</f>
        <v>-1743813.0124694789</v>
      </c>
      <c r="Q6" s="93"/>
      <c r="R6" s="94"/>
    </row>
    <row r="7" spans="2:18" x14ac:dyDescent="0.25">
      <c r="B7" s="30" t="s">
        <v>12</v>
      </c>
      <c r="C7" s="31"/>
      <c r="D7" s="32">
        <f>NPV(C2,E59:E76)</f>
        <v>-9949316.3945729993</v>
      </c>
      <c r="E7" s="28"/>
      <c r="F7" s="32">
        <f>NPV(C2,H59:H76)</f>
        <v>26485513.147547748</v>
      </c>
      <c r="G7" s="95">
        <f>D7+F7</f>
        <v>16536196.752974749</v>
      </c>
      <c r="H7" s="95"/>
      <c r="I7" s="96"/>
      <c r="K7" s="30" t="s">
        <v>16</v>
      </c>
      <c r="L7" s="31"/>
      <c r="M7" s="32">
        <f>NPV(C2,N59:N76)</f>
        <v>1946140.0693198952</v>
      </c>
      <c r="N7" s="28"/>
      <c r="O7" s="32">
        <f>NPV(C2,Q59:Q76)</f>
        <v>116706.01308717037</v>
      </c>
      <c r="P7" s="95">
        <f>M7+O7</f>
        <v>2062846.0824070657</v>
      </c>
      <c r="Q7" s="95"/>
      <c r="R7" s="96"/>
    </row>
    <row r="8" spans="2:18" ht="15.75" thickBot="1" x14ac:dyDescent="0.3">
      <c r="B8" s="33" t="s">
        <v>13</v>
      </c>
      <c r="C8" s="34"/>
      <c r="D8" s="34"/>
      <c r="E8" s="35"/>
      <c r="F8" s="36"/>
      <c r="G8" s="97">
        <f>SUM(G5:G7)</f>
        <v>19658109.768183231</v>
      </c>
      <c r="H8" s="97" t="s">
        <v>13</v>
      </c>
      <c r="I8" s="98"/>
      <c r="K8" s="33" t="s">
        <v>17</v>
      </c>
      <c r="L8" s="34"/>
      <c r="M8" s="34"/>
      <c r="N8" s="34"/>
      <c r="O8" s="34"/>
      <c r="P8" s="97">
        <f>SUM(P5:P7)</f>
        <v>-5894377.0339628793</v>
      </c>
      <c r="Q8" s="97"/>
      <c r="R8" s="98"/>
    </row>
    <row r="10" spans="2:18" x14ac:dyDescent="0.25">
      <c r="C10" s="1" t="s">
        <v>10</v>
      </c>
      <c r="D10" s="1"/>
      <c r="E10" s="1"/>
      <c r="F10" s="1"/>
      <c r="G10" s="1"/>
      <c r="H10" s="1"/>
      <c r="I10" s="1"/>
      <c r="L10" s="11" t="s">
        <v>14</v>
      </c>
      <c r="M10" s="11"/>
      <c r="N10" s="11"/>
      <c r="O10" s="11"/>
      <c r="P10" s="11"/>
      <c r="Q10" s="11"/>
      <c r="R10" s="11"/>
    </row>
    <row r="11" spans="2:18" x14ac:dyDescent="0.25">
      <c r="B11" s="18"/>
      <c r="C11" s="19" t="s">
        <v>4</v>
      </c>
      <c r="D11" s="19" t="s">
        <v>0</v>
      </c>
      <c r="E11" s="19"/>
      <c r="F11" s="19" t="s">
        <v>5</v>
      </c>
      <c r="G11" s="19" t="s">
        <v>1</v>
      </c>
      <c r="H11" s="19"/>
      <c r="I11" s="20" t="s">
        <v>7</v>
      </c>
      <c r="K11" s="18"/>
      <c r="L11" s="19" t="s">
        <v>4</v>
      </c>
      <c r="M11" s="19" t="s">
        <v>0</v>
      </c>
      <c r="N11" s="19"/>
      <c r="O11" s="19" t="s">
        <v>5</v>
      </c>
      <c r="P11" s="19" t="s">
        <v>1</v>
      </c>
      <c r="Q11" s="19"/>
      <c r="R11" s="20" t="s">
        <v>7</v>
      </c>
    </row>
    <row r="12" spans="2:18" x14ac:dyDescent="0.25">
      <c r="B12" s="21" t="s">
        <v>20</v>
      </c>
      <c r="C12" s="22" t="s">
        <v>2</v>
      </c>
      <c r="D12" s="22" t="s">
        <v>3</v>
      </c>
      <c r="E12" s="22"/>
      <c r="F12" s="22" t="s">
        <v>2</v>
      </c>
      <c r="G12" s="22" t="s">
        <v>3</v>
      </c>
      <c r="H12" s="22"/>
      <c r="I12" s="23" t="s">
        <v>3</v>
      </c>
      <c r="K12" s="21" t="s">
        <v>20</v>
      </c>
      <c r="L12" s="22" t="s">
        <v>2</v>
      </c>
      <c r="M12" s="22" t="s">
        <v>3</v>
      </c>
      <c r="N12" s="22"/>
      <c r="O12" s="22" t="s">
        <v>2</v>
      </c>
      <c r="P12" s="22" t="s">
        <v>3</v>
      </c>
      <c r="Q12" s="22"/>
      <c r="R12" s="23" t="s">
        <v>3</v>
      </c>
    </row>
    <row r="13" spans="2:18" x14ac:dyDescent="0.25">
      <c r="B13" s="5">
        <v>2018</v>
      </c>
      <c r="C13" s="5" vm="1">
        <v>7213.2048611111095</v>
      </c>
      <c r="D13" s="6">
        <v>12050.3126358966</v>
      </c>
      <c r="E13" s="6">
        <f t="shared" ref="E13:E30" si="0">I13*C13-C13*D13</f>
        <v>-3067867.1727413386</v>
      </c>
      <c r="F13" s="6" vm="34">
        <v>4790.9490000000014</v>
      </c>
      <c r="G13" s="7">
        <v>12438.711772902328</v>
      </c>
      <c r="H13" s="3">
        <f t="shared" ref="H13:H30" si="1">F13*G13-F13*I13</f>
        <v>3898451.6046746373</v>
      </c>
      <c r="I13" s="4">
        <v>11625</v>
      </c>
      <c r="K13" s="5">
        <v>2018</v>
      </c>
      <c r="L13" s="5" vm="22">
        <v>730</v>
      </c>
      <c r="M13" s="6">
        <v>18655</v>
      </c>
      <c r="N13" s="6">
        <f t="shared" ref="N13:N30" si="2">R13*L13-L13*M13</f>
        <v>-2668150</v>
      </c>
      <c r="O13" s="6">
        <v>0</v>
      </c>
      <c r="P13" s="7">
        <v>0</v>
      </c>
      <c r="Q13" s="3">
        <f t="shared" ref="Q13:Q30" si="3">O13*P13-O13*R13</f>
        <v>0</v>
      </c>
      <c r="R13" s="4">
        <v>15000</v>
      </c>
    </row>
    <row r="14" spans="2:18" x14ac:dyDescent="0.25">
      <c r="B14" s="5">
        <v>2019</v>
      </c>
      <c r="C14" s="5" vm="2">
        <v>5417.2125000000005</v>
      </c>
      <c r="D14" s="8">
        <v>13669.793172834317</v>
      </c>
      <c r="E14" s="8">
        <f t="shared" si="0"/>
        <v>-11077079.135792725</v>
      </c>
      <c r="F14" s="8" vm="35">
        <v>3122.1261527777779</v>
      </c>
      <c r="G14" s="9">
        <v>13799.954380040363</v>
      </c>
      <c r="H14" s="2">
        <f t="shared" si="1"/>
        <v>6790481.9510225952</v>
      </c>
      <c r="I14" s="4">
        <v>11625</v>
      </c>
      <c r="K14" s="5">
        <v>2019</v>
      </c>
      <c r="L14" s="5" vm="20">
        <v>730</v>
      </c>
      <c r="M14" s="8">
        <v>18655</v>
      </c>
      <c r="N14" s="8">
        <f t="shared" si="2"/>
        <v>-2668150</v>
      </c>
      <c r="O14" s="8">
        <v>0</v>
      </c>
      <c r="P14" s="9">
        <v>0</v>
      </c>
      <c r="Q14" s="2">
        <f t="shared" si="3"/>
        <v>0</v>
      </c>
      <c r="R14" s="4">
        <v>15000</v>
      </c>
    </row>
    <row r="15" spans="2:18" x14ac:dyDescent="0.25">
      <c r="B15" s="5">
        <v>2020</v>
      </c>
      <c r="C15" s="5" vm="3">
        <v>4941</v>
      </c>
      <c r="D15" s="8">
        <v>13890.193435279316</v>
      </c>
      <c r="E15" s="8">
        <f t="shared" si="0"/>
        <v>-11192320.763715103</v>
      </c>
      <c r="F15" s="8" vm="36">
        <v>2157.2072013888887</v>
      </c>
      <c r="G15" s="9">
        <v>15186.868471158585</v>
      </c>
      <c r="H15" s="2">
        <f t="shared" si="1"/>
        <v>7683688.3163833283</v>
      </c>
      <c r="I15" s="4">
        <v>11625</v>
      </c>
      <c r="K15" s="5">
        <v>2020</v>
      </c>
      <c r="L15" s="5" vm="21">
        <v>396.60902777777778</v>
      </c>
      <c r="M15" s="8">
        <v>18655</v>
      </c>
      <c r="N15" s="8">
        <f t="shared" si="2"/>
        <v>-1449605.996527778</v>
      </c>
      <c r="O15" s="8">
        <v>0</v>
      </c>
      <c r="P15" s="9">
        <v>0</v>
      </c>
      <c r="Q15" s="2">
        <f t="shared" si="3"/>
        <v>0</v>
      </c>
      <c r="R15" s="4">
        <v>15000</v>
      </c>
    </row>
    <row r="16" spans="2:18" x14ac:dyDescent="0.25">
      <c r="B16" s="5">
        <v>2021</v>
      </c>
      <c r="C16" s="5" vm="4">
        <v>4324.3826388888892</v>
      </c>
      <c r="D16" s="8">
        <v>14041.064291905179</v>
      </c>
      <c r="E16" s="8">
        <f t="shared" si="0"/>
        <v>-10447986.478354134</v>
      </c>
      <c r="F16" s="8" vm="37">
        <v>1697.0897499999999</v>
      </c>
      <c r="G16" s="9">
        <v>14810.584379078979</v>
      </c>
      <c r="H16" s="2">
        <f t="shared" si="1"/>
        <v>5406222.5974950455</v>
      </c>
      <c r="I16" s="4">
        <v>11625</v>
      </c>
      <c r="K16" s="5">
        <v>2021</v>
      </c>
      <c r="L16" s="5"/>
      <c r="M16" s="8"/>
      <c r="N16" s="8">
        <f t="shared" si="2"/>
        <v>0</v>
      </c>
      <c r="O16" s="8"/>
      <c r="P16" s="9"/>
      <c r="Q16" s="2">
        <f t="shared" si="3"/>
        <v>0</v>
      </c>
      <c r="R16" s="4">
        <v>15000</v>
      </c>
    </row>
    <row r="17" spans="2:18" x14ac:dyDescent="0.25">
      <c r="B17" s="5">
        <v>2022</v>
      </c>
      <c r="C17" s="5" vm="5">
        <v>2896.791666666667</v>
      </c>
      <c r="D17" s="8">
        <v>14161.390899202437</v>
      </c>
      <c r="E17" s="8">
        <f t="shared" si="0"/>
        <v>-7347396.020218797</v>
      </c>
      <c r="F17" s="8" vm="38">
        <v>1680.2495416666668</v>
      </c>
      <c r="G17" s="9">
        <v>14850.782997052889</v>
      </c>
      <c r="H17" s="2">
        <f t="shared" si="1"/>
        <v>5420120.4023142457</v>
      </c>
      <c r="I17" s="4">
        <v>11625</v>
      </c>
      <c r="K17" s="5">
        <v>2022</v>
      </c>
      <c r="L17" s="5"/>
      <c r="M17" s="8"/>
      <c r="N17" s="8">
        <f t="shared" si="2"/>
        <v>0</v>
      </c>
      <c r="O17" s="8"/>
      <c r="P17" s="9"/>
      <c r="Q17" s="2">
        <f t="shared" si="3"/>
        <v>0</v>
      </c>
      <c r="R17" s="4">
        <v>15000</v>
      </c>
    </row>
    <row r="18" spans="2:18" x14ac:dyDescent="0.25">
      <c r="B18" s="5">
        <v>2023</v>
      </c>
      <c r="C18" s="5" vm="6">
        <v>1249.5052083333335</v>
      </c>
      <c r="D18" s="8">
        <v>13613.211712846482</v>
      </c>
      <c r="E18" s="8">
        <f t="shared" si="0"/>
        <v>-2484280.890471017</v>
      </c>
      <c r="F18" s="8" vm="39">
        <v>1048.9807291666666</v>
      </c>
      <c r="G18" s="9">
        <v>14695.518254544428</v>
      </c>
      <c r="H18" s="2">
        <f t="shared" si="1"/>
        <v>3220914.4775715731</v>
      </c>
      <c r="I18" s="4">
        <v>11625</v>
      </c>
      <c r="K18" s="5">
        <v>2023</v>
      </c>
      <c r="L18" s="5"/>
      <c r="M18" s="8"/>
      <c r="N18" s="8">
        <f t="shared" si="2"/>
        <v>0</v>
      </c>
      <c r="O18" s="8"/>
      <c r="P18" s="9"/>
      <c r="Q18" s="2">
        <f t="shared" si="3"/>
        <v>0</v>
      </c>
      <c r="R18" s="4">
        <v>15000</v>
      </c>
    </row>
    <row r="19" spans="2:18" x14ac:dyDescent="0.25">
      <c r="B19" s="5">
        <v>2024</v>
      </c>
      <c r="C19" s="5" vm="7">
        <v>29.487499999999997</v>
      </c>
      <c r="D19" s="8">
        <v>13742.604633706676</v>
      </c>
      <c r="E19" s="8">
        <f t="shared" si="0"/>
        <v>-62442.866636425664</v>
      </c>
      <c r="F19" s="8" vm="40">
        <v>597.02189583333336</v>
      </c>
      <c r="G19" s="9">
        <v>15250.735540450591</v>
      </c>
      <c r="H19" s="2">
        <f t="shared" si="1"/>
        <v>2164643.5061501078</v>
      </c>
      <c r="I19" s="4">
        <v>11625</v>
      </c>
      <c r="K19" s="5">
        <v>2024</v>
      </c>
      <c r="L19" s="5"/>
      <c r="M19" s="8"/>
      <c r="N19" s="8">
        <f t="shared" si="2"/>
        <v>0</v>
      </c>
      <c r="O19" s="8"/>
      <c r="P19" s="9"/>
      <c r="Q19" s="2">
        <f t="shared" si="3"/>
        <v>0</v>
      </c>
      <c r="R19" s="4">
        <v>15000</v>
      </c>
    </row>
    <row r="20" spans="2:18" x14ac:dyDescent="0.25">
      <c r="B20" s="5">
        <v>2025</v>
      </c>
      <c r="C20" s="5"/>
      <c r="D20" s="5"/>
      <c r="E20" s="8">
        <f t="shared" si="0"/>
        <v>0</v>
      </c>
      <c r="F20" s="8" vm="41">
        <v>612.08789583333328</v>
      </c>
      <c r="G20" s="9">
        <v>16240.07689208706</v>
      </c>
      <c r="H20" s="2">
        <f t="shared" si="1"/>
        <v>2824832.7039866084</v>
      </c>
      <c r="I20" s="4">
        <v>11625</v>
      </c>
      <c r="K20" s="5">
        <v>2025</v>
      </c>
      <c r="L20" s="5"/>
      <c r="M20" s="5"/>
      <c r="N20" s="8">
        <f t="shared" si="2"/>
        <v>0</v>
      </c>
      <c r="O20" s="8"/>
      <c r="P20" s="9"/>
      <c r="Q20" s="2">
        <f t="shared" si="3"/>
        <v>0</v>
      </c>
      <c r="R20" s="4">
        <v>15000</v>
      </c>
    </row>
    <row r="21" spans="2:18" x14ac:dyDescent="0.25">
      <c r="B21" s="5">
        <v>2026</v>
      </c>
      <c r="C21" s="5"/>
      <c r="D21" s="5"/>
      <c r="E21" s="8">
        <f t="shared" si="0"/>
        <v>0</v>
      </c>
      <c r="F21" s="8" vm="42">
        <v>454.6556875</v>
      </c>
      <c r="G21" s="9">
        <v>13076.01375151339</v>
      </c>
      <c r="H21" s="2">
        <f t="shared" si="1"/>
        <v>659711.65476627462</v>
      </c>
      <c r="I21" s="4">
        <v>11625</v>
      </c>
      <c r="K21" s="5">
        <v>2026</v>
      </c>
      <c r="L21" s="5"/>
      <c r="M21" s="5"/>
      <c r="N21" s="8">
        <f t="shared" si="2"/>
        <v>0</v>
      </c>
      <c r="O21" s="8"/>
      <c r="P21" s="9"/>
      <c r="Q21" s="2">
        <f t="shared" si="3"/>
        <v>0</v>
      </c>
      <c r="R21" s="4">
        <v>15000</v>
      </c>
    </row>
    <row r="22" spans="2:18" x14ac:dyDescent="0.25">
      <c r="B22" s="5">
        <v>2027</v>
      </c>
      <c r="C22" s="5"/>
      <c r="D22" s="5"/>
      <c r="E22" s="8">
        <f t="shared" si="0"/>
        <v>0</v>
      </c>
      <c r="F22" s="5"/>
      <c r="G22" s="5"/>
      <c r="H22" s="2">
        <f t="shared" si="1"/>
        <v>0</v>
      </c>
      <c r="I22" s="4">
        <v>11625</v>
      </c>
      <c r="K22" s="5">
        <v>2027</v>
      </c>
      <c r="L22" s="5"/>
      <c r="M22" s="5"/>
      <c r="N22" s="8">
        <f t="shared" si="2"/>
        <v>0</v>
      </c>
      <c r="O22" s="5"/>
      <c r="P22" s="5"/>
      <c r="Q22" s="2">
        <f t="shared" si="3"/>
        <v>0</v>
      </c>
      <c r="R22" s="4">
        <v>15000</v>
      </c>
    </row>
    <row r="23" spans="2:18" x14ac:dyDescent="0.25">
      <c r="B23" s="5">
        <v>2028</v>
      </c>
      <c r="C23" s="5"/>
      <c r="D23" s="5"/>
      <c r="E23" s="8">
        <f t="shared" si="0"/>
        <v>0</v>
      </c>
      <c r="F23" s="5"/>
      <c r="G23" s="5"/>
      <c r="H23" s="2">
        <f t="shared" si="1"/>
        <v>0</v>
      </c>
      <c r="I23" s="4">
        <v>11625</v>
      </c>
      <c r="K23" s="5">
        <v>2028</v>
      </c>
      <c r="L23" s="5"/>
      <c r="M23" s="5"/>
      <c r="N23" s="8">
        <f t="shared" si="2"/>
        <v>0</v>
      </c>
      <c r="O23" s="5"/>
      <c r="P23" s="5"/>
      <c r="Q23" s="2">
        <f t="shared" si="3"/>
        <v>0</v>
      </c>
      <c r="R23" s="4">
        <v>15000</v>
      </c>
    </row>
    <row r="24" spans="2:18" x14ac:dyDescent="0.25">
      <c r="B24" s="5">
        <v>2029</v>
      </c>
      <c r="C24" s="5"/>
      <c r="D24" s="5"/>
      <c r="E24" s="8">
        <f t="shared" si="0"/>
        <v>0</v>
      </c>
      <c r="F24" s="5"/>
      <c r="G24" s="5"/>
      <c r="H24" s="2">
        <f t="shared" si="1"/>
        <v>0</v>
      </c>
      <c r="I24" s="4">
        <v>11625</v>
      </c>
      <c r="K24" s="5">
        <v>2029</v>
      </c>
      <c r="L24" s="5"/>
      <c r="M24" s="5"/>
      <c r="N24" s="8">
        <f t="shared" si="2"/>
        <v>0</v>
      </c>
      <c r="O24" s="5"/>
      <c r="P24" s="5"/>
      <c r="Q24" s="2">
        <f t="shared" si="3"/>
        <v>0</v>
      </c>
      <c r="R24" s="4">
        <v>15000</v>
      </c>
    </row>
    <row r="25" spans="2:18" x14ac:dyDescent="0.25">
      <c r="B25" s="5">
        <v>2030</v>
      </c>
      <c r="C25" s="5"/>
      <c r="D25" s="5"/>
      <c r="E25" s="8">
        <f t="shared" si="0"/>
        <v>0</v>
      </c>
      <c r="F25" s="5"/>
      <c r="G25" s="10"/>
      <c r="H25" s="2">
        <f t="shared" si="1"/>
        <v>0</v>
      </c>
      <c r="I25" s="4">
        <v>11625</v>
      </c>
      <c r="K25" s="5">
        <v>2030</v>
      </c>
      <c r="L25" s="5"/>
      <c r="M25" s="5"/>
      <c r="N25" s="8">
        <f t="shared" si="2"/>
        <v>0</v>
      </c>
      <c r="O25" s="5"/>
      <c r="P25" s="10"/>
      <c r="Q25" s="2">
        <f t="shared" si="3"/>
        <v>0</v>
      </c>
      <c r="R25" s="4">
        <v>15000</v>
      </c>
    </row>
    <row r="26" spans="2:18" x14ac:dyDescent="0.25">
      <c r="B26" s="5">
        <v>2031</v>
      </c>
      <c r="C26" s="5"/>
      <c r="D26" s="5"/>
      <c r="E26" s="8">
        <f t="shared" si="0"/>
        <v>0</v>
      </c>
      <c r="F26" s="5"/>
      <c r="G26" s="5"/>
      <c r="H26" s="2">
        <f t="shared" si="1"/>
        <v>0</v>
      </c>
      <c r="I26" s="4">
        <v>11625</v>
      </c>
      <c r="K26" s="5">
        <v>2031</v>
      </c>
      <c r="L26" s="5"/>
      <c r="M26" s="5"/>
      <c r="N26" s="8">
        <f t="shared" si="2"/>
        <v>0</v>
      </c>
      <c r="O26" s="5"/>
      <c r="P26" s="5"/>
      <c r="Q26" s="2">
        <f t="shared" si="3"/>
        <v>0</v>
      </c>
      <c r="R26" s="4">
        <v>15000</v>
      </c>
    </row>
    <row r="27" spans="2:18" x14ac:dyDescent="0.25">
      <c r="B27" s="5">
        <v>2032</v>
      </c>
      <c r="C27" s="5"/>
      <c r="D27" s="5"/>
      <c r="E27" s="8">
        <f t="shared" si="0"/>
        <v>0</v>
      </c>
      <c r="F27" s="5"/>
      <c r="G27" s="5"/>
      <c r="H27" s="2">
        <f t="shared" si="1"/>
        <v>0</v>
      </c>
      <c r="I27" s="4">
        <v>11625</v>
      </c>
      <c r="K27" s="5">
        <v>2032</v>
      </c>
      <c r="L27" s="5"/>
      <c r="M27" s="5"/>
      <c r="N27" s="8">
        <f t="shared" si="2"/>
        <v>0</v>
      </c>
      <c r="O27" s="5"/>
      <c r="P27" s="5"/>
      <c r="Q27" s="2">
        <f t="shared" si="3"/>
        <v>0</v>
      </c>
      <c r="R27" s="4">
        <v>15000</v>
      </c>
    </row>
    <row r="28" spans="2:18" x14ac:dyDescent="0.25">
      <c r="B28" s="5">
        <v>2033</v>
      </c>
      <c r="C28" s="5"/>
      <c r="D28" s="5"/>
      <c r="E28" s="8">
        <f t="shared" si="0"/>
        <v>0</v>
      </c>
      <c r="F28" s="5"/>
      <c r="G28" s="5"/>
      <c r="H28" s="2">
        <f t="shared" si="1"/>
        <v>0</v>
      </c>
      <c r="I28" s="4">
        <v>11625</v>
      </c>
      <c r="K28" s="5">
        <v>2033</v>
      </c>
      <c r="L28" s="5"/>
      <c r="M28" s="5"/>
      <c r="N28" s="8">
        <f t="shared" si="2"/>
        <v>0</v>
      </c>
      <c r="O28" s="5"/>
      <c r="P28" s="5"/>
      <c r="Q28" s="2">
        <f t="shared" si="3"/>
        <v>0</v>
      </c>
      <c r="R28" s="4">
        <v>15000</v>
      </c>
    </row>
    <row r="29" spans="2:18" x14ac:dyDescent="0.25">
      <c r="B29" s="5">
        <v>2034</v>
      </c>
      <c r="C29" s="5"/>
      <c r="D29" s="5"/>
      <c r="E29" s="8">
        <f t="shared" si="0"/>
        <v>0</v>
      </c>
      <c r="F29" s="5"/>
      <c r="G29" s="5"/>
      <c r="H29" s="2">
        <f t="shared" si="1"/>
        <v>0</v>
      </c>
      <c r="I29" s="4">
        <v>11625</v>
      </c>
      <c r="K29" s="5">
        <v>2034</v>
      </c>
      <c r="L29" s="5"/>
      <c r="M29" s="5"/>
      <c r="N29" s="8">
        <f t="shared" si="2"/>
        <v>0</v>
      </c>
      <c r="O29" s="5"/>
      <c r="P29" s="5"/>
      <c r="Q29" s="2">
        <f t="shared" si="3"/>
        <v>0</v>
      </c>
      <c r="R29" s="4">
        <v>15000</v>
      </c>
    </row>
    <row r="30" spans="2:18" x14ac:dyDescent="0.25">
      <c r="B30" s="5">
        <v>2035</v>
      </c>
      <c r="C30" s="5"/>
      <c r="D30" s="5"/>
      <c r="E30" s="8">
        <f t="shared" si="0"/>
        <v>0</v>
      </c>
      <c r="F30" s="5"/>
      <c r="G30" s="5"/>
      <c r="H30" s="2">
        <f t="shared" si="1"/>
        <v>0</v>
      </c>
      <c r="I30" s="4">
        <v>11625</v>
      </c>
      <c r="K30" s="5">
        <v>2035</v>
      </c>
      <c r="L30" s="5"/>
      <c r="M30" s="5"/>
      <c r="N30" s="8">
        <f t="shared" si="2"/>
        <v>0</v>
      </c>
      <c r="O30" s="5"/>
      <c r="P30" s="5"/>
      <c r="Q30" s="2">
        <f t="shared" si="3"/>
        <v>0</v>
      </c>
      <c r="R30" s="4">
        <v>15000</v>
      </c>
    </row>
    <row r="33" spans="2:18" x14ac:dyDescent="0.25">
      <c r="C33" s="1" t="s">
        <v>11</v>
      </c>
      <c r="D33" s="1"/>
      <c r="E33" s="1"/>
      <c r="F33" s="1"/>
      <c r="G33" s="1"/>
      <c r="H33" s="1"/>
      <c r="I33" s="1"/>
      <c r="L33" s="1" t="s">
        <v>15</v>
      </c>
      <c r="M33" s="1"/>
      <c r="N33" s="1"/>
      <c r="O33" s="1"/>
      <c r="P33" s="1"/>
      <c r="Q33" s="1"/>
      <c r="R33" s="1"/>
    </row>
    <row r="34" spans="2:18" x14ac:dyDescent="0.25">
      <c r="B34" s="18"/>
      <c r="C34" s="19" t="s">
        <v>4</v>
      </c>
      <c r="D34" s="19" t="s">
        <v>0</v>
      </c>
      <c r="E34" s="19"/>
      <c r="F34" s="19" t="s">
        <v>5</v>
      </c>
      <c r="G34" s="19" t="s">
        <v>1</v>
      </c>
      <c r="H34" s="19"/>
      <c r="I34" s="20" t="s">
        <v>7</v>
      </c>
      <c r="K34" s="18"/>
      <c r="L34" s="19" t="s">
        <v>4</v>
      </c>
      <c r="M34" s="19" t="s">
        <v>0</v>
      </c>
      <c r="N34" s="19"/>
      <c r="O34" s="19" t="s">
        <v>5</v>
      </c>
      <c r="P34" s="19" t="s">
        <v>1</v>
      </c>
      <c r="Q34" s="19"/>
      <c r="R34" s="20" t="s">
        <v>7</v>
      </c>
    </row>
    <row r="35" spans="2:18" x14ac:dyDescent="0.25">
      <c r="B35" s="21" t="s">
        <v>20</v>
      </c>
      <c r="C35" s="22" t="s">
        <v>2</v>
      </c>
      <c r="D35" s="22" t="s">
        <v>3</v>
      </c>
      <c r="E35" s="22"/>
      <c r="F35" s="22" t="s">
        <v>2</v>
      </c>
      <c r="G35" s="22" t="s">
        <v>3</v>
      </c>
      <c r="H35" s="22"/>
      <c r="I35" s="23" t="s">
        <v>3</v>
      </c>
      <c r="K35" s="21" t="s">
        <v>20</v>
      </c>
      <c r="L35" s="22" t="s">
        <v>2</v>
      </c>
      <c r="M35" s="22" t="s">
        <v>3</v>
      </c>
      <c r="N35" s="22"/>
      <c r="O35" s="22" t="s">
        <v>2</v>
      </c>
      <c r="P35" s="22" t="s">
        <v>3</v>
      </c>
      <c r="Q35" s="22"/>
      <c r="R35" s="23" t="s">
        <v>3</v>
      </c>
    </row>
    <row r="36" spans="2:18" x14ac:dyDescent="0.25">
      <c r="B36" s="17">
        <v>2018</v>
      </c>
      <c r="C36" s="17" vm="8">
        <v>5919.2937499999998</v>
      </c>
      <c r="D36" s="17">
        <v>10166.12379751363</v>
      </c>
      <c r="E36" s="6">
        <f t="shared" ref="E36:E53" si="4">I36*C36-C36*D36</f>
        <v>1976311.3186513036</v>
      </c>
      <c r="F36" s="6" vm="43">
        <v>3473.3023611111107</v>
      </c>
      <c r="G36" s="6">
        <v>12100.177705540305</v>
      </c>
      <c r="H36" s="7">
        <f t="shared" ref="H36:H53" si="5">F36*G36-F36*I36</f>
        <v>5557901.0028505027</v>
      </c>
      <c r="I36" s="3">
        <v>10500</v>
      </c>
      <c r="K36" s="5">
        <v>2018</v>
      </c>
      <c r="L36" s="5" vm="23">
        <v>3748.3312500000002</v>
      </c>
      <c r="M36" s="5">
        <v>14711.11681935987</v>
      </c>
      <c r="N36" s="6">
        <f>R36*L36-L36*M36</f>
        <v>1082829.8535927907</v>
      </c>
      <c r="O36" s="6">
        <v>745.98901321684593</v>
      </c>
      <c r="P36" s="6">
        <v>14056.273867831884</v>
      </c>
      <c r="Q36" s="7">
        <f>O36*P36-O36*R36</f>
        <v>-704009.32608304359</v>
      </c>
      <c r="R36" s="3">
        <v>15000</v>
      </c>
    </row>
    <row r="37" spans="2:18" x14ac:dyDescent="0.25">
      <c r="B37" s="5">
        <v>2019</v>
      </c>
      <c r="C37" s="5" vm="9">
        <v>4747.5958333333328</v>
      </c>
      <c r="D37" s="5">
        <v>11181.01431124442</v>
      </c>
      <c r="E37" s="8">
        <f t="shared" si="4"/>
        <v>-3233180.7065043822</v>
      </c>
      <c r="F37" s="8" vm="44">
        <v>2007.1264930555556</v>
      </c>
      <c r="G37" s="8">
        <v>12719.553776369145</v>
      </c>
      <c r="H37" s="9">
        <f t="shared" si="5"/>
        <v>4454925.1873120181</v>
      </c>
      <c r="I37" s="3">
        <v>10500</v>
      </c>
      <c r="K37" s="5">
        <v>2019</v>
      </c>
      <c r="L37" s="5" vm="24">
        <v>3212</v>
      </c>
      <c r="M37" s="5">
        <v>15641.671389781923</v>
      </c>
      <c r="N37" s="8">
        <f t="shared" ref="N37:N53" si="6">R37*L37-L37*M37</f>
        <v>-2061048.5039795339</v>
      </c>
      <c r="O37" s="8" vm="65">
        <v>5.0721774193548388</v>
      </c>
      <c r="P37" s="8">
        <v>12843.966651054354</v>
      </c>
      <c r="Q37" s="9">
        <f t="shared" ref="Q37:Q53" si="7">O37*P37-O37*R37</f>
        <v>-10935.783667898089</v>
      </c>
      <c r="R37" s="3">
        <v>15000</v>
      </c>
    </row>
    <row r="38" spans="2:18" x14ac:dyDescent="0.25">
      <c r="B38" s="5">
        <v>2020</v>
      </c>
      <c r="C38" s="5" vm="10">
        <v>5493.25</v>
      </c>
      <c r="D38" s="5">
        <v>11261.504524618447</v>
      </c>
      <c r="E38" s="8">
        <f t="shared" si="4"/>
        <v>-4183134.7298602834</v>
      </c>
      <c r="F38" s="8" vm="45">
        <v>2024.5542361111113</v>
      </c>
      <c r="G38" s="8">
        <v>12312.46251114545</v>
      </c>
      <c r="H38" s="9">
        <f t="shared" si="5"/>
        <v>3669428.6547321044</v>
      </c>
      <c r="I38" s="3">
        <v>10500</v>
      </c>
      <c r="K38" s="5">
        <v>2020</v>
      </c>
      <c r="L38" s="5" vm="25">
        <v>3601.9979166666667</v>
      </c>
      <c r="M38" s="5">
        <v>15215.214168325165</v>
      </c>
      <c r="N38" s="8">
        <f t="shared" si="6"/>
        <v>-775200.9859443903</v>
      </c>
      <c r="O38" s="8"/>
      <c r="P38" s="8"/>
      <c r="Q38" s="9">
        <f t="shared" si="7"/>
        <v>0</v>
      </c>
      <c r="R38" s="3">
        <v>15000</v>
      </c>
    </row>
    <row r="39" spans="2:18" x14ac:dyDescent="0.25">
      <c r="B39" s="5">
        <v>2021</v>
      </c>
      <c r="C39" s="5" vm="11">
        <v>5475</v>
      </c>
      <c r="D39" s="5">
        <v>11305.852182123914</v>
      </c>
      <c r="E39" s="8">
        <f t="shared" si="4"/>
        <v>-4412040.69712843</v>
      </c>
      <c r="F39" s="8" vm="46">
        <v>1871.2384027777775</v>
      </c>
      <c r="G39" s="8">
        <v>12236.435035360801</v>
      </c>
      <c r="H39" s="9">
        <f t="shared" si="5"/>
        <v>3249283.9220959172</v>
      </c>
      <c r="I39" s="3">
        <v>10500</v>
      </c>
      <c r="K39" s="5">
        <v>2021</v>
      </c>
      <c r="L39" s="5" vm="26">
        <v>3846.416666666667</v>
      </c>
      <c r="M39" s="5">
        <v>15087.774271459461</v>
      </c>
      <c r="N39" s="8">
        <f t="shared" si="6"/>
        <v>-337616.42064619064</v>
      </c>
      <c r="O39" s="8"/>
      <c r="P39" s="8"/>
      <c r="Q39" s="9">
        <f t="shared" si="7"/>
        <v>0</v>
      </c>
      <c r="R39" s="3">
        <v>15000</v>
      </c>
    </row>
    <row r="40" spans="2:18" x14ac:dyDescent="0.25">
      <c r="B40" s="5">
        <v>2022</v>
      </c>
      <c r="C40" s="5" vm="12">
        <v>5075.2958333333336</v>
      </c>
      <c r="D40" s="5">
        <v>11040.322448491281</v>
      </c>
      <c r="E40" s="8">
        <f t="shared" si="4"/>
        <v>-2742296.2714842632</v>
      </c>
      <c r="F40" s="8" vm="47">
        <v>1690.4427430555556</v>
      </c>
      <c r="G40" s="8">
        <v>12081.551796117088</v>
      </c>
      <c r="H40" s="9">
        <f t="shared" si="5"/>
        <v>2673522.7565126084</v>
      </c>
      <c r="I40" s="3">
        <v>10500</v>
      </c>
      <c r="K40" s="5">
        <v>2022</v>
      </c>
      <c r="L40" s="5" vm="27">
        <v>3629</v>
      </c>
      <c r="M40" s="5">
        <v>14989.420915949169</v>
      </c>
      <c r="N40" s="8">
        <f t="shared" si="6"/>
        <v>38391.496020466089</v>
      </c>
      <c r="O40" s="8"/>
      <c r="P40" s="8"/>
      <c r="Q40" s="9">
        <f t="shared" si="7"/>
        <v>0</v>
      </c>
      <c r="R40" s="3">
        <v>15000</v>
      </c>
    </row>
    <row r="41" spans="2:18" x14ac:dyDescent="0.25">
      <c r="B41" s="5">
        <v>2023</v>
      </c>
      <c r="C41" s="5" vm="13">
        <v>2935.45</v>
      </c>
      <c r="D41" s="5">
        <v>10649.438948939161</v>
      </c>
      <c r="E41" s="8">
        <f t="shared" si="4"/>
        <v>-438670.56266346201</v>
      </c>
      <c r="F41" s="8" vm="48">
        <v>1701.2078819444446</v>
      </c>
      <c r="G41" s="8">
        <v>11440.621564973175</v>
      </c>
      <c r="H41" s="9">
        <f t="shared" si="5"/>
        <v>1600192.8202592842</v>
      </c>
      <c r="I41" s="3">
        <v>10500</v>
      </c>
      <c r="K41" s="5">
        <v>2023</v>
      </c>
      <c r="L41" s="5" vm="28">
        <v>2343.25</v>
      </c>
      <c r="M41" s="5">
        <v>14806.424458733416</v>
      </c>
      <c r="N41" s="8">
        <f t="shared" si="6"/>
        <v>453595.8870729208</v>
      </c>
      <c r="O41" s="8"/>
      <c r="P41" s="8"/>
      <c r="Q41" s="9">
        <f t="shared" si="7"/>
        <v>0</v>
      </c>
      <c r="R41" s="3">
        <v>15000</v>
      </c>
    </row>
    <row r="42" spans="2:18" x14ac:dyDescent="0.25">
      <c r="B42" s="5">
        <v>2024</v>
      </c>
      <c r="C42" s="5" vm="14">
        <v>1161.3520833333332</v>
      </c>
      <c r="D42" s="5">
        <v>10472.921730358594</v>
      </c>
      <c r="E42" s="8">
        <f t="shared" si="4"/>
        <v>31447.404861107469</v>
      </c>
      <c r="F42" s="8" vm="49">
        <v>1297.2310763888891</v>
      </c>
      <c r="G42" s="8">
        <v>11154.240829254401</v>
      </c>
      <c r="H42" s="9">
        <f t="shared" si="5"/>
        <v>848701.53515124507</v>
      </c>
      <c r="I42" s="3">
        <v>10500</v>
      </c>
      <c r="K42" s="5">
        <v>2024</v>
      </c>
      <c r="L42" s="5" vm="29">
        <v>1128</v>
      </c>
      <c r="M42" s="5">
        <v>14635.212765957447</v>
      </c>
      <c r="N42" s="8">
        <f t="shared" si="6"/>
        <v>411480</v>
      </c>
      <c r="O42" s="8"/>
      <c r="P42" s="8"/>
      <c r="Q42" s="9">
        <f t="shared" si="7"/>
        <v>0</v>
      </c>
      <c r="R42" s="3">
        <v>15000</v>
      </c>
    </row>
    <row r="43" spans="2:18" x14ac:dyDescent="0.25">
      <c r="B43" s="5">
        <v>2025</v>
      </c>
      <c r="C43" s="5" vm="15">
        <v>54</v>
      </c>
      <c r="D43" s="5">
        <v>12629</v>
      </c>
      <c r="E43" s="5">
        <f t="shared" si="4"/>
        <v>-114966</v>
      </c>
      <c r="F43" s="8" vm="50">
        <v>1250.3277430555554</v>
      </c>
      <c r="G43" s="8">
        <v>11109.25670153311</v>
      </c>
      <c r="H43" s="9">
        <f t="shared" si="5"/>
        <v>761770.55656936392</v>
      </c>
      <c r="I43" s="3">
        <v>10500</v>
      </c>
      <c r="K43" s="5">
        <v>2025</v>
      </c>
      <c r="L43" s="5" vm="30">
        <v>331.0020833333333</v>
      </c>
      <c r="M43" s="5">
        <v>14726.96325132227</v>
      </c>
      <c r="N43" s="5">
        <f t="shared" si="6"/>
        <v>90375.732638888992</v>
      </c>
      <c r="O43" s="8"/>
      <c r="P43" s="8"/>
      <c r="Q43" s="9">
        <f t="shared" si="7"/>
        <v>0</v>
      </c>
      <c r="R43" s="3">
        <v>15000</v>
      </c>
    </row>
    <row r="44" spans="2:18" x14ac:dyDescent="0.25">
      <c r="B44" s="5">
        <v>2026</v>
      </c>
      <c r="C44" s="5"/>
      <c r="D44" s="5"/>
      <c r="E44" s="5">
        <f t="shared" si="4"/>
        <v>0</v>
      </c>
      <c r="F44" s="8" vm="51">
        <v>1231.4683680555554</v>
      </c>
      <c r="G44" s="8">
        <v>11101.506325057091</v>
      </c>
      <c r="H44" s="9">
        <f t="shared" si="5"/>
        <v>740736.01249315031</v>
      </c>
      <c r="I44" s="3">
        <v>10500</v>
      </c>
      <c r="K44" s="5">
        <v>2026</v>
      </c>
      <c r="L44" s="5"/>
      <c r="M44" s="5"/>
      <c r="N44" s="5">
        <f t="shared" si="6"/>
        <v>0</v>
      </c>
      <c r="O44" s="8"/>
      <c r="P44" s="8"/>
      <c r="Q44" s="9">
        <f t="shared" si="7"/>
        <v>0</v>
      </c>
      <c r="R44" s="3">
        <v>15000</v>
      </c>
    </row>
    <row r="45" spans="2:18" x14ac:dyDescent="0.25">
      <c r="B45" s="5">
        <v>2027</v>
      </c>
      <c r="C45" s="5"/>
      <c r="D45" s="5"/>
      <c r="E45" s="5">
        <f t="shared" si="4"/>
        <v>0</v>
      </c>
      <c r="F45" s="8" vm="52">
        <v>848.02993055555567</v>
      </c>
      <c r="G45" s="5">
        <v>10863.790811525245</v>
      </c>
      <c r="H45" s="5">
        <f t="shared" si="5"/>
        <v>308505.49663450383</v>
      </c>
      <c r="I45" s="3">
        <v>10500</v>
      </c>
      <c r="K45" s="5">
        <v>2027</v>
      </c>
      <c r="L45" s="5"/>
      <c r="M45" s="5"/>
      <c r="N45" s="5">
        <f t="shared" si="6"/>
        <v>0</v>
      </c>
      <c r="O45" s="8"/>
      <c r="P45" s="5"/>
      <c r="Q45" s="5">
        <f t="shared" si="7"/>
        <v>0</v>
      </c>
      <c r="R45" s="3">
        <v>15000</v>
      </c>
    </row>
    <row r="46" spans="2:18" x14ac:dyDescent="0.25">
      <c r="B46" s="5">
        <v>2028</v>
      </c>
      <c r="C46" s="5"/>
      <c r="D46" s="5"/>
      <c r="E46" s="5">
        <f t="shared" si="4"/>
        <v>0</v>
      </c>
      <c r="F46" s="8" vm="53">
        <v>711.4263194444444</v>
      </c>
      <c r="G46" s="5">
        <v>10686.320556766019</v>
      </c>
      <c r="H46" s="5">
        <f t="shared" si="5"/>
        <v>132553.34793688823</v>
      </c>
      <c r="I46" s="3">
        <v>10500</v>
      </c>
      <c r="K46" s="5">
        <v>2028</v>
      </c>
      <c r="L46" s="5"/>
      <c r="M46" s="5"/>
      <c r="N46" s="5">
        <f t="shared" si="6"/>
        <v>0</v>
      </c>
      <c r="O46" s="8"/>
      <c r="P46" s="5"/>
      <c r="Q46" s="5">
        <f t="shared" si="7"/>
        <v>0</v>
      </c>
      <c r="R46" s="3">
        <v>15000</v>
      </c>
    </row>
    <row r="47" spans="2:18" x14ac:dyDescent="0.25">
      <c r="B47" s="5">
        <v>2029</v>
      </c>
      <c r="C47" s="5"/>
      <c r="D47" s="5"/>
      <c r="E47" s="5">
        <f t="shared" si="4"/>
        <v>0</v>
      </c>
      <c r="F47" s="8" vm="54">
        <v>709.72631944444447</v>
      </c>
      <c r="G47" s="5">
        <v>10682.31275106244</v>
      </c>
      <c r="H47" s="5">
        <f t="shared" si="5"/>
        <v>129392.15779933706</v>
      </c>
      <c r="I47" s="3">
        <v>10500</v>
      </c>
      <c r="K47" s="5">
        <v>2029</v>
      </c>
      <c r="L47" s="5"/>
      <c r="M47" s="5"/>
      <c r="N47" s="5">
        <f t="shared" si="6"/>
        <v>0</v>
      </c>
      <c r="O47" s="8"/>
      <c r="P47" s="5"/>
      <c r="Q47" s="5">
        <f t="shared" si="7"/>
        <v>0</v>
      </c>
      <c r="R47" s="3">
        <v>15000</v>
      </c>
    </row>
    <row r="48" spans="2:18" x14ac:dyDescent="0.25">
      <c r="B48" s="5">
        <v>2030</v>
      </c>
      <c r="C48" s="5"/>
      <c r="D48" s="5"/>
      <c r="E48" s="5">
        <f t="shared" si="4"/>
        <v>0</v>
      </c>
      <c r="F48" s="8" vm="55">
        <v>493.97631944444447</v>
      </c>
      <c r="G48" s="5">
        <v>12359.5236103237</v>
      </c>
      <c r="H48" s="10">
        <f t="shared" si="5"/>
        <v>918560.62894774694</v>
      </c>
      <c r="I48" s="3">
        <v>10500</v>
      </c>
      <c r="K48" s="5">
        <v>2030</v>
      </c>
      <c r="L48" s="5"/>
      <c r="M48" s="5"/>
      <c r="N48" s="5">
        <f t="shared" si="6"/>
        <v>0</v>
      </c>
      <c r="O48" s="8"/>
      <c r="P48" s="5"/>
      <c r="Q48" s="10">
        <f t="shared" si="7"/>
        <v>0</v>
      </c>
      <c r="R48" s="3">
        <v>15000</v>
      </c>
    </row>
    <row r="49" spans="2:18" x14ac:dyDescent="0.25">
      <c r="B49" s="5">
        <v>2031</v>
      </c>
      <c r="C49" s="5"/>
      <c r="D49" s="5"/>
      <c r="E49" s="5">
        <f t="shared" si="4"/>
        <v>0</v>
      </c>
      <c r="F49" s="8" vm="56">
        <v>493.97631944444447</v>
      </c>
      <c r="G49" s="5">
        <v>12359.523610323704</v>
      </c>
      <c r="H49" s="5">
        <f t="shared" si="5"/>
        <v>918560.6289477488</v>
      </c>
      <c r="I49" s="3">
        <v>10500</v>
      </c>
      <c r="K49" s="5">
        <v>2031</v>
      </c>
      <c r="L49" s="5"/>
      <c r="M49" s="5"/>
      <c r="N49" s="5">
        <f t="shared" si="6"/>
        <v>0</v>
      </c>
      <c r="O49" s="8"/>
      <c r="P49" s="5"/>
      <c r="Q49" s="5">
        <f t="shared" si="7"/>
        <v>0</v>
      </c>
      <c r="R49" s="3">
        <v>15000</v>
      </c>
    </row>
    <row r="50" spans="2:18" x14ac:dyDescent="0.25">
      <c r="B50" s="5">
        <v>2032</v>
      </c>
      <c r="C50" s="5"/>
      <c r="D50" s="5"/>
      <c r="E50" s="5">
        <f t="shared" si="4"/>
        <v>0</v>
      </c>
      <c r="F50" s="8"/>
      <c r="G50" s="5"/>
      <c r="H50" s="5">
        <f t="shared" si="5"/>
        <v>0</v>
      </c>
      <c r="I50" s="3">
        <v>10500</v>
      </c>
      <c r="K50" s="5">
        <v>2032</v>
      </c>
      <c r="L50" s="5"/>
      <c r="M50" s="5"/>
      <c r="N50" s="5">
        <f t="shared" si="6"/>
        <v>0</v>
      </c>
      <c r="O50" s="8"/>
      <c r="P50" s="5"/>
      <c r="Q50" s="5">
        <f t="shared" si="7"/>
        <v>0</v>
      </c>
      <c r="R50" s="3">
        <v>15000</v>
      </c>
    </row>
    <row r="51" spans="2:18" x14ac:dyDescent="0.25">
      <c r="B51" s="5">
        <v>2033</v>
      </c>
      <c r="C51" s="5"/>
      <c r="D51" s="5"/>
      <c r="E51" s="5">
        <f t="shared" si="4"/>
        <v>0</v>
      </c>
      <c r="F51" s="8"/>
      <c r="G51" s="5"/>
      <c r="H51" s="5">
        <f t="shared" si="5"/>
        <v>0</v>
      </c>
      <c r="I51" s="3">
        <v>10500</v>
      </c>
      <c r="K51" s="5">
        <v>2033</v>
      </c>
      <c r="L51" s="5"/>
      <c r="M51" s="5"/>
      <c r="N51" s="5">
        <f t="shared" si="6"/>
        <v>0</v>
      </c>
      <c r="O51" s="8"/>
      <c r="P51" s="5"/>
      <c r="Q51" s="5">
        <f t="shared" si="7"/>
        <v>0</v>
      </c>
      <c r="R51" s="3">
        <v>15000</v>
      </c>
    </row>
    <row r="52" spans="2:18" x14ac:dyDescent="0.25">
      <c r="B52" s="5">
        <v>2034</v>
      </c>
      <c r="C52" s="5"/>
      <c r="D52" s="5"/>
      <c r="E52" s="5">
        <f t="shared" si="4"/>
        <v>0</v>
      </c>
      <c r="F52" s="8"/>
      <c r="G52" s="5"/>
      <c r="H52" s="5">
        <f t="shared" si="5"/>
        <v>0</v>
      </c>
      <c r="I52" s="3">
        <v>10500</v>
      </c>
      <c r="K52" s="5">
        <v>2034</v>
      </c>
      <c r="L52" s="5"/>
      <c r="M52" s="5"/>
      <c r="N52" s="5">
        <f t="shared" si="6"/>
        <v>0</v>
      </c>
      <c r="O52" s="8"/>
      <c r="P52" s="5"/>
      <c r="Q52" s="5">
        <f t="shared" si="7"/>
        <v>0</v>
      </c>
      <c r="R52" s="3">
        <v>15000</v>
      </c>
    </row>
    <row r="53" spans="2:18" x14ac:dyDescent="0.25">
      <c r="B53" s="5">
        <v>2035</v>
      </c>
      <c r="C53" s="5"/>
      <c r="D53" s="5"/>
      <c r="E53" s="5">
        <f t="shared" si="4"/>
        <v>0</v>
      </c>
      <c r="F53" s="8"/>
      <c r="G53" s="5"/>
      <c r="H53" s="5">
        <f t="shared" si="5"/>
        <v>0</v>
      </c>
      <c r="I53" s="3">
        <v>10500</v>
      </c>
      <c r="K53" s="5">
        <v>2035</v>
      </c>
      <c r="L53" s="5"/>
      <c r="M53" s="5"/>
      <c r="N53" s="5">
        <f t="shared" si="6"/>
        <v>0</v>
      </c>
      <c r="O53" s="8"/>
      <c r="P53" s="5"/>
      <c r="Q53" s="5">
        <f t="shared" si="7"/>
        <v>0</v>
      </c>
      <c r="R53" s="3">
        <v>15000</v>
      </c>
    </row>
    <row r="56" spans="2:18" x14ac:dyDescent="0.25">
      <c r="C56" s="1" t="s">
        <v>16</v>
      </c>
      <c r="D56" s="1"/>
      <c r="E56" s="1"/>
      <c r="F56" s="1"/>
      <c r="G56" s="1"/>
      <c r="H56" s="1"/>
      <c r="I56" s="1"/>
      <c r="L56" s="1" t="s">
        <v>16</v>
      </c>
      <c r="M56" s="1"/>
      <c r="N56" s="1"/>
      <c r="O56" s="1"/>
      <c r="P56" s="1"/>
      <c r="Q56" s="1"/>
      <c r="R56" s="1"/>
    </row>
    <row r="57" spans="2:18" x14ac:dyDescent="0.25">
      <c r="B57" s="18"/>
      <c r="C57" s="19" t="s">
        <v>4</v>
      </c>
      <c r="D57" s="19" t="s">
        <v>0</v>
      </c>
      <c r="E57" s="19"/>
      <c r="F57" s="19" t="s">
        <v>5</v>
      </c>
      <c r="G57" s="19" t="s">
        <v>1</v>
      </c>
      <c r="H57" s="19"/>
      <c r="I57" s="20" t="s">
        <v>7</v>
      </c>
      <c r="K57" s="18"/>
      <c r="L57" s="19" t="s">
        <v>4</v>
      </c>
      <c r="M57" s="19" t="s">
        <v>0</v>
      </c>
      <c r="N57" s="19"/>
      <c r="O57" s="19" t="s">
        <v>5</v>
      </c>
      <c r="P57" s="19" t="s">
        <v>1</v>
      </c>
      <c r="Q57" s="19"/>
      <c r="R57" s="20" t="s">
        <v>7</v>
      </c>
    </row>
    <row r="58" spans="2:18" x14ac:dyDescent="0.25">
      <c r="B58" s="21" t="s">
        <v>20</v>
      </c>
      <c r="C58" s="22" t="s">
        <v>2</v>
      </c>
      <c r="D58" s="22" t="s">
        <v>3</v>
      </c>
      <c r="E58" s="22"/>
      <c r="F58" s="22" t="s">
        <v>2</v>
      </c>
      <c r="G58" s="22" t="s">
        <v>3</v>
      </c>
      <c r="H58" s="22"/>
      <c r="I58" s="23" t="s">
        <v>3</v>
      </c>
      <c r="K58" s="21" t="s">
        <v>20</v>
      </c>
      <c r="L58" s="22" t="s">
        <v>2</v>
      </c>
      <c r="M58" s="22" t="s">
        <v>3</v>
      </c>
      <c r="N58" s="22"/>
      <c r="O58" s="22" t="s">
        <v>2</v>
      </c>
      <c r="P58" s="22" t="s">
        <v>3</v>
      </c>
      <c r="Q58" s="22"/>
      <c r="R58" s="23" t="s">
        <v>3</v>
      </c>
    </row>
    <row r="59" spans="2:18" x14ac:dyDescent="0.25">
      <c r="B59" s="5">
        <v>2018</v>
      </c>
      <c r="C59" s="5" vm="16">
        <v>2350.8986111111108</v>
      </c>
      <c r="D59" s="5">
        <v>10734.668012723771</v>
      </c>
      <c r="E59" s="6">
        <f t="shared" ref="E59:E76" si="8">I59*C59-C59*D59</f>
        <v>-5253477.9274067394</v>
      </c>
      <c r="F59" s="6" vm="63">
        <v>1786.0731150149581</v>
      </c>
      <c r="G59" s="6">
        <v>11679.531011582563</v>
      </c>
      <c r="H59" s="7">
        <f t="shared" ref="H59:H76" si="9">F59*G59-F59*I59</f>
        <v>5678874.8581439275</v>
      </c>
      <c r="I59" s="3">
        <v>8500</v>
      </c>
      <c r="K59" s="17">
        <v>2018</v>
      </c>
      <c r="L59" s="17" vm="31">
        <v>1095</v>
      </c>
      <c r="M59" s="17">
        <v>12652.932344838806</v>
      </c>
      <c r="N59" s="6">
        <f>R59*L59-L59*M59</f>
        <v>927539.08240150847</v>
      </c>
      <c r="O59" s="6" vm="66">
        <v>209</v>
      </c>
      <c r="P59" s="6">
        <v>14086.32207531832</v>
      </c>
      <c r="Q59" s="7">
        <f>O59*P59-O59*R59</f>
        <v>122541.31374152889</v>
      </c>
      <c r="R59" s="3">
        <v>13500</v>
      </c>
    </row>
    <row r="60" spans="2:18" x14ac:dyDescent="0.25">
      <c r="B60" s="5">
        <v>2019</v>
      </c>
      <c r="C60" s="5" vm="17">
        <v>1318.2416666666668</v>
      </c>
      <c r="D60" s="5">
        <v>11035.74848408817</v>
      </c>
      <c r="E60" s="8">
        <f t="shared" si="8"/>
        <v>-3342729.3079118617</v>
      </c>
      <c r="F60" s="8" vm="64">
        <v>1007.2973168288161</v>
      </c>
      <c r="G60" s="8">
        <v>14376.57287703033</v>
      </c>
      <c r="H60" s="9">
        <f t="shared" si="9"/>
        <v>5919456.0911816489</v>
      </c>
      <c r="I60" s="3">
        <v>8500</v>
      </c>
      <c r="K60" s="5">
        <v>2019</v>
      </c>
      <c r="L60" s="5" vm="32">
        <v>1095</v>
      </c>
      <c r="M60" s="5">
        <v>12729.25321625775</v>
      </c>
      <c r="N60" s="8">
        <f t="shared" ref="N60:N76" si="10">R60*L60-L60*M60</f>
        <v>843967.72819776461</v>
      </c>
      <c r="O60" s="8"/>
      <c r="P60" s="8"/>
      <c r="Q60" s="9">
        <f t="shared" ref="Q60:Q76" si="11">O60*P60-O60*R60</f>
        <v>0</v>
      </c>
      <c r="R60" s="3">
        <v>13500</v>
      </c>
    </row>
    <row r="61" spans="2:18" x14ac:dyDescent="0.25">
      <c r="B61" s="5">
        <v>2020</v>
      </c>
      <c r="C61" s="5" vm="18">
        <v>486.5</v>
      </c>
      <c r="D61" s="5">
        <v>12113.34960728996</v>
      </c>
      <c r="E61" s="8">
        <f t="shared" si="8"/>
        <v>-1757894.5839465652</v>
      </c>
      <c r="F61" s="8" vm="57">
        <v>902.20741907817217</v>
      </c>
      <c r="G61" s="8">
        <v>14884.409901866067</v>
      </c>
      <c r="H61" s="9">
        <f t="shared" si="9"/>
        <v>5760061.9798997119</v>
      </c>
      <c r="I61" s="3">
        <v>8500</v>
      </c>
      <c r="K61" s="5">
        <v>2020</v>
      </c>
      <c r="L61" s="5" vm="33">
        <v>446.47847222222219</v>
      </c>
      <c r="M61" s="5">
        <v>12729.25187618038</v>
      </c>
      <c r="N61" s="8">
        <f t="shared" si="10"/>
        <v>344122.44479112793</v>
      </c>
      <c r="O61" s="8"/>
      <c r="P61" s="8"/>
      <c r="Q61" s="9">
        <f t="shared" si="11"/>
        <v>0</v>
      </c>
      <c r="R61" s="3">
        <v>13500</v>
      </c>
    </row>
    <row r="62" spans="2:18" x14ac:dyDescent="0.25">
      <c r="B62" s="5">
        <v>2021</v>
      </c>
      <c r="C62" s="5" vm="19">
        <v>106.125</v>
      </c>
      <c r="D62" s="5">
        <v>13030.040047114253</v>
      </c>
      <c r="E62" s="8">
        <f t="shared" si="8"/>
        <v>-480750.5</v>
      </c>
      <c r="F62" s="8" vm="58">
        <v>877.82987214759964</v>
      </c>
      <c r="G62" s="8">
        <v>14856.562063202286</v>
      </c>
      <c r="H62" s="9">
        <f t="shared" si="9"/>
        <v>5579980.0632391451</v>
      </c>
      <c r="I62" s="3">
        <v>8500</v>
      </c>
      <c r="K62" s="5">
        <v>2021</v>
      </c>
      <c r="L62" s="5"/>
      <c r="M62" s="5"/>
      <c r="N62" s="8">
        <f t="shared" si="10"/>
        <v>0</v>
      </c>
      <c r="O62" s="8"/>
      <c r="P62" s="8"/>
      <c r="Q62" s="9">
        <f t="shared" si="11"/>
        <v>0</v>
      </c>
      <c r="R62" s="3">
        <v>13500</v>
      </c>
    </row>
    <row r="63" spans="2:18" x14ac:dyDescent="0.25">
      <c r="B63" s="5">
        <v>2022</v>
      </c>
      <c r="C63" s="5"/>
      <c r="D63" s="5"/>
      <c r="E63" s="8">
        <f t="shared" si="8"/>
        <v>0</v>
      </c>
      <c r="F63" s="8" vm="59">
        <v>656.23213972010001</v>
      </c>
      <c r="G63" s="8">
        <v>14952.376625138519</v>
      </c>
      <c r="H63" s="9">
        <f t="shared" si="9"/>
        <v>4234256.9189946074</v>
      </c>
      <c r="I63" s="3">
        <v>8500</v>
      </c>
      <c r="K63" s="5">
        <v>2022</v>
      </c>
      <c r="L63" s="5"/>
      <c r="M63" s="5"/>
      <c r="N63" s="8">
        <f t="shared" si="10"/>
        <v>0</v>
      </c>
      <c r="O63" s="8"/>
      <c r="P63" s="8"/>
      <c r="Q63" s="9">
        <f t="shared" si="11"/>
        <v>0</v>
      </c>
      <c r="R63" s="3">
        <v>13500</v>
      </c>
    </row>
    <row r="64" spans="2:18" x14ac:dyDescent="0.25">
      <c r="B64" s="5">
        <v>2023</v>
      </c>
      <c r="C64" s="5"/>
      <c r="D64" s="5"/>
      <c r="E64" s="8">
        <f t="shared" si="8"/>
        <v>0</v>
      </c>
      <c r="F64" s="8" vm="60">
        <v>234.84325083121109</v>
      </c>
      <c r="G64" s="8">
        <v>15289.323639190747</v>
      </c>
      <c r="H64" s="9">
        <f t="shared" si="9"/>
        <v>1594426.8343727435</v>
      </c>
      <c r="I64" s="3">
        <v>8500</v>
      </c>
      <c r="K64" s="5">
        <v>2023</v>
      </c>
      <c r="L64" s="5"/>
      <c r="M64" s="5"/>
      <c r="N64" s="8">
        <f t="shared" si="10"/>
        <v>0</v>
      </c>
      <c r="O64" s="8"/>
      <c r="P64" s="8"/>
      <c r="Q64" s="9">
        <f t="shared" si="11"/>
        <v>0</v>
      </c>
      <c r="R64" s="3">
        <v>13500</v>
      </c>
    </row>
    <row r="65" spans="2:18" x14ac:dyDescent="0.25">
      <c r="B65" s="5">
        <v>2024</v>
      </c>
      <c r="C65" s="5"/>
      <c r="D65" s="5"/>
      <c r="E65" s="8">
        <f t="shared" si="8"/>
        <v>0</v>
      </c>
      <c r="F65" s="8" vm="61">
        <v>150.47374242477832</v>
      </c>
      <c r="G65" s="8">
        <v>16326.928907760799</v>
      </c>
      <c r="H65" s="9">
        <f t="shared" si="9"/>
        <v>1177747.2844434502</v>
      </c>
      <c r="I65" s="3">
        <v>8500</v>
      </c>
      <c r="K65" s="5">
        <v>2024</v>
      </c>
      <c r="L65" s="5"/>
      <c r="M65" s="5"/>
      <c r="N65" s="8">
        <f t="shared" si="10"/>
        <v>0</v>
      </c>
      <c r="O65" s="8"/>
      <c r="P65" s="8"/>
      <c r="Q65" s="9">
        <f t="shared" si="11"/>
        <v>0</v>
      </c>
      <c r="R65" s="3">
        <v>13500</v>
      </c>
    </row>
    <row r="66" spans="2:18" x14ac:dyDescent="0.25">
      <c r="B66" s="5">
        <v>2025</v>
      </c>
      <c r="C66" s="5"/>
      <c r="D66" s="5"/>
      <c r="E66" s="5">
        <f t="shared" si="8"/>
        <v>0</v>
      </c>
      <c r="F66" s="8" vm="62">
        <v>150.4610089782588</v>
      </c>
      <c r="G66" s="8">
        <v>16326.928907760799</v>
      </c>
      <c r="H66" s="9">
        <f t="shared" si="9"/>
        <v>1177647.620662791</v>
      </c>
      <c r="I66" s="3">
        <v>8500</v>
      </c>
      <c r="K66" s="5">
        <v>2025</v>
      </c>
      <c r="L66" s="16"/>
      <c r="M66" s="5"/>
      <c r="N66" s="5">
        <f t="shared" si="10"/>
        <v>0</v>
      </c>
      <c r="O66" s="8"/>
      <c r="P66" s="8"/>
      <c r="Q66" s="9">
        <f t="shared" si="11"/>
        <v>0</v>
      </c>
      <c r="R66" s="3">
        <v>13500</v>
      </c>
    </row>
    <row r="67" spans="2:18" x14ac:dyDescent="0.25">
      <c r="B67" s="5">
        <v>2026</v>
      </c>
      <c r="C67" s="5"/>
      <c r="D67" s="5"/>
      <c r="E67" s="5">
        <f t="shared" si="8"/>
        <v>0</v>
      </c>
      <c r="F67" s="8"/>
      <c r="G67" s="8"/>
      <c r="H67" s="9">
        <f t="shared" si="9"/>
        <v>0</v>
      </c>
      <c r="I67" s="3">
        <v>8500</v>
      </c>
      <c r="K67" s="14">
        <v>2026</v>
      </c>
      <c r="L67" s="5"/>
      <c r="M67" s="15"/>
      <c r="N67" s="5">
        <f t="shared" si="10"/>
        <v>0</v>
      </c>
      <c r="O67" s="8"/>
      <c r="P67" s="8"/>
      <c r="Q67" s="9">
        <f t="shared" si="11"/>
        <v>0</v>
      </c>
      <c r="R67" s="3">
        <v>13500</v>
      </c>
    </row>
    <row r="68" spans="2:18" x14ac:dyDescent="0.25">
      <c r="B68" s="5">
        <v>2027</v>
      </c>
      <c r="C68" s="5"/>
      <c r="D68" s="5"/>
      <c r="E68" s="5">
        <f t="shared" si="8"/>
        <v>0</v>
      </c>
      <c r="F68" s="8"/>
      <c r="G68" s="5"/>
      <c r="H68" s="5">
        <f t="shared" si="9"/>
        <v>0</v>
      </c>
      <c r="I68" s="3">
        <v>8500</v>
      </c>
      <c r="K68" s="5">
        <v>2027</v>
      </c>
      <c r="L68" s="17"/>
      <c r="M68" s="5"/>
      <c r="N68" s="5">
        <f t="shared" si="10"/>
        <v>0</v>
      </c>
      <c r="O68" s="8"/>
      <c r="P68" s="5"/>
      <c r="Q68" s="5">
        <f t="shared" si="11"/>
        <v>0</v>
      </c>
      <c r="R68" s="3">
        <v>13500</v>
      </c>
    </row>
    <row r="69" spans="2:18" x14ac:dyDescent="0.25">
      <c r="B69" s="5">
        <v>2028</v>
      </c>
      <c r="C69" s="5"/>
      <c r="D69" s="5"/>
      <c r="E69" s="5">
        <f t="shared" si="8"/>
        <v>0</v>
      </c>
      <c r="F69" s="8"/>
      <c r="G69" s="5"/>
      <c r="H69" s="5">
        <f t="shared" si="9"/>
        <v>0</v>
      </c>
      <c r="I69" s="3">
        <v>8500</v>
      </c>
      <c r="K69" s="5">
        <v>2028</v>
      </c>
      <c r="L69" s="5"/>
      <c r="M69" s="5"/>
      <c r="N69" s="5">
        <f t="shared" si="10"/>
        <v>0</v>
      </c>
      <c r="O69" s="8"/>
      <c r="P69" s="5"/>
      <c r="Q69" s="5">
        <f t="shared" si="11"/>
        <v>0</v>
      </c>
      <c r="R69" s="3">
        <v>13500</v>
      </c>
    </row>
    <row r="70" spans="2:18" x14ac:dyDescent="0.25">
      <c r="B70" s="5">
        <v>2029</v>
      </c>
      <c r="C70" s="5"/>
      <c r="D70" s="5"/>
      <c r="E70" s="5">
        <f t="shared" si="8"/>
        <v>0</v>
      </c>
      <c r="F70" s="8"/>
      <c r="G70" s="5"/>
      <c r="H70" s="5">
        <f t="shared" si="9"/>
        <v>0</v>
      </c>
      <c r="I70" s="3">
        <v>8500</v>
      </c>
      <c r="K70" s="5">
        <v>2029</v>
      </c>
      <c r="L70" s="5"/>
      <c r="M70" s="5"/>
      <c r="N70" s="5">
        <f t="shared" si="10"/>
        <v>0</v>
      </c>
      <c r="O70" s="8"/>
      <c r="P70" s="5"/>
      <c r="Q70" s="5">
        <f t="shared" si="11"/>
        <v>0</v>
      </c>
      <c r="R70" s="3">
        <v>13500</v>
      </c>
    </row>
    <row r="71" spans="2:18" x14ac:dyDescent="0.25">
      <c r="B71" s="5">
        <v>2030</v>
      </c>
      <c r="C71" s="5"/>
      <c r="D71" s="5"/>
      <c r="E71" s="5">
        <f t="shared" si="8"/>
        <v>0</v>
      </c>
      <c r="F71" s="8"/>
      <c r="G71" s="5"/>
      <c r="H71" s="10">
        <f t="shared" si="9"/>
        <v>0</v>
      </c>
      <c r="I71" s="3">
        <v>8500</v>
      </c>
      <c r="K71" s="5">
        <v>2030</v>
      </c>
      <c r="L71" s="5"/>
      <c r="M71" s="5"/>
      <c r="N71" s="5">
        <f t="shared" si="10"/>
        <v>0</v>
      </c>
      <c r="O71" s="8"/>
      <c r="P71" s="5"/>
      <c r="Q71" s="10">
        <f t="shared" si="11"/>
        <v>0</v>
      </c>
      <c r="R71" s="3">
        <v>13500</v>
      </c>
    </row>
    <row r="72" spans="2:18" x14ac:dyDescent="0.25">
      <c r="B72" s="5">
        <v>2031</v>
      </c>
      <c r="C72" s="5"/>
      <c r="D72" s="5"/>
      <c r="E72" s="5">
        <f t="shared" si="8"/>
        <v>0</v>
      </c>
      <c r="F72" s="8"/>
      <c r="G72" s="5"/>
      <c r="H72" s="5">
        <f t="shared" si="9"/>
        <v>0</v>
      </c>
      <c r="I72" s="3">
        <v>8500</v>
      </c>
      <c r="K72" s="5">
        <v>2031</v>
      </c>
      <c r="L72" s="5"/>
      <c r="M72" s="5"/>
      <c r="N72" s="5">
        <f t="shared" si="10"/>
        <v>0</v>
      </c>
      <c r="O72" s="8"/>
      <c r="P72" s="5"/>
      <c r="Q72" s="5">
        <f t="shared" si="11"/>
        <v>0</v>
      </c>
      <c r="R72" s="3">
        <v>13500</v>
      </c>
    </row>
    <row r="73" spans="2:18" x14ac:dyDescent="0.25">
      <c r="B73" s="5">
        <v>2032</v>
      </c>
      <c r="C73" s="5"/>
      <c r="D73" s="5"/>
      <c r="E73" s="5">
        <f t="shared" si="8"/>
        <v>0</v>
      </c>
      <c r="F73" s="8"/>
      <c r="G73" s="5"/>
      <c r="H73" s="5">
        <f t="shared" si="9"/>
        <v>0</v>
      </c>
      <c r="I73" s="3">
        <v>8500</v>
      </c>
      <c r="K73" s="5">
        <v>2032</v>
      </c>
      <c r="L73" s="5"/>
      <c r="M73" s="5"/>
      <c r="N73" s="5">
        <f t="shared" si="10"/>
        <v>0</v>
      </c>
      <c r="O73" s="8"/>
      <c r="P73" s="5"/>
      <c r="Q73" s="5">
        <f t="shared" si="11"/>
        <v>0</v>
      </c>
      <c r="R73" s="3">
        <v>13500</v>
      </c>
    </row>
    <row r="74" spans="2:18" x14ac:dyDescent="0.25">
      <c r="B74" s="5">
        <v>2033</v>
      </c>
      <c r="C74" s="5"/>
      <c r="D74" s="5"/>
      <c r="E74" s="5">
        <f t="shared" si="8"/>
        <v>0</v>
      </c>
      <c r="F74" s="8"/>
      <c r="G74" s="5"/>
      <c r="H74" s="5">
        <f t="shared" si="9"/>
        <v>0</v>
      </c>
      <c r="I74" s="3">
        <v>8500</v>
      </c>
      <c r="K74" s="5">
        <v>2033</v>
      </c>
      <c r="L74" s="5"/>
      <c r="M74" s="5"/>
      <c r="N74" s="5">
        <f t="shared" si="10"/>
        <v>0</v>
      </c>
      <c r="O74" s="8"/>
      <c r="P74" s="5"/>
      <c r="Q74" s="5">
        <f t="shared" si="11"/>
        <v>0</v>
      </c>
      <c r="R74" s="3">
        <v>13500</v>
      </c>
    </row>
    <row r="75" spans="2:18" x14ac:dyDescent="0.25">
      <c r="B75" s="5">
        <v>2034</v>
      </c>
      <c r="C75" s="5"/>
      <c r="D75" s="5"/>
      <c r="E75" s="5">
        <f t="shared" si="8"/>
        <v>0</v>
      </c>
      <c r="F75" s="8"/>
      <c r="G75" s="5"/>
      <c r="H75" s="5">
        <f t="shared" si="9"/>
        <v>0</v>
      </c>
      <c r="I75" s="3">
        <v>8500</v>
      </c>
      <c r="K75" s="5">
        <v>2034</v>
      </c>
      <c r="L75" s="5"/>
      <c r="M75" s="5"/>
      <c r="N75" s="5">
        <f t="shared" si="10"/>
        <v>0</v>
      </c>
      <c r="O75" s="8"/>
      <c r="P75" s="5"/>
      <c r="Q75" s="5">
        <f t="shared" si="11"/>
        <v>0</v>
      </c>
      <c r="R75" s="3">
        <v>13500</v>
      </c>
    </row>
    <row r="76" spans="2:18" x14ac:dyDescent="0.25">
      <c r="B76" s="5">
        <v>2035</v>
      </c>
      <c r="C76" s="5"/>
      <c r="D76" s="5"/>
      <c r="E76" s="5">
        <f t="shared" si="8"/>
        <v>0</v>
      </c>
      <c r="F76" s="8"/>
      <c r="G76" s="5"/>
      <c r="H76" s="5">
        <f t="shared" si="9"/>
        <v>0</v>
      </c>
      <c r="I76" s="3">
        <v>8500</v>
      </c>
      <c r="K76" s="5">
        <v>2035</v>
      </c>
      <c r="L76" s="5"/>
      <c r="M76" s="5"/>
      <c r="N76" s="5">
        <f t="shared" si="10"/>
        <v>0</v>
      </c>
      <c r="O76" s="8"/>
      <c r="P76" s="5"/>
      <c r="Q76" s="5">
        <f t="shared" si="11"/>
        <v>0</v>
      </c>
      <c r="R76" s="3">
        <v>13500</v>
      </c>
    </row>
  </sheetData>
  <mergeCells count="10">
    <mergeCell ref="G4:I4"/>
    <mergeCell ref="G5:I5"/>
    <mergeCell ref="G6:I6"/>
    <mergeCell ref="G7:I7"/>
    <mergeCell ref="G8:I8"/>
    <mergeCell ref="P4:R4"/>
    <mergeCell ref="P5:R5"/>
    <mergeCell ref="P6:R6"/>
    <mergeCell ref="P7:R7"/>
    <mergeCell ref="P8:R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of TC Cover</vt:lpstr>
      <vt:lpstr>Discount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Aarup</dc:creator>
  <cp:lastModifiedBy>Peter Grønsedt</cp:lastModifiedBy>
  <cp:lastPrinted>2018-08-10T12:00:00Z</cp:lastPrinted>
  <dcterms:created xsi:type="dcterms:W3CDTF">2017-11-21T11:51:39Z</dcterms:created>
  <dcterms:modified xsi:type="dcterms:W3CDTF">2020-03-03T15:56:04Z</dcterms:modified>
</cp:coreProperties>
</file>